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eburgis\Desktop\ESC-Eric\DG\Tools_CHP\"/>
    </mc:Choice>
  </mc:AlternateContent>
  <workbookProtection workbookAlgorithmName="SHA-512" workbookHashValue="zt6LNxeIWVAudbabgLdNP1ktVhPPVF/0ETqhRHQi7ezphlSHdm3cyneV/pWKGiTQm8WbqOTEGpSNmGvR+gD2dw==" workbookSaltValue="HtVh0xIimOF5G8ZTjgzQyg==" workbookSpinCount="100000" lockStructure="1"/>
  <bookViews>
    <workbookView xWindow="120" yWindow="135" windowWidth="13275" windowHeight="7875" tabRatio="875"/>
  </bookViews>
  <sheets>
    <sheet name="CHP Payback" sheetId="2" r:id="rId1"/>
    <sheet name="Overview" sheetId="6" state="hidden" r:id="rId2"/>
    <sheet name="Assumptions" sheetId="3" state="hidden" r:id="rId3"/>
    <sheet name="Life Cycle Cost " sheetId="4" state="hidden" r:id="rId4"/>
    <sheet name="Carbon Calc 041118" sheetId="10" state="hidden" r:id="rId5"/>
    <sheet name="_SSC" sheetId="9" state="veryHidden" r:id="rId6"/>
  </sheets>
  <definedNames>
    <definedName name="_Ctrl_1" hidden="1">'CHP Payback'!$B$6</definedName>
    <definedName name="_Ctrl_2" hidden="1">'CHP Payback'!$D$6</definedName>
    <definedName name="Canadian_Average_All_Sources">'Carbon Calc 041118'!$DA$9:$DA$19</definedName>
    <definedName name="eGrid_Subregions_Ave_All_Sources">'Carbon Calc 041118'!$CW$9:$CW$34</definedName>
    <definedName name="eGrid_Subregions_Average_Fossil">'Carbon Calc 041118'!$CX$9:$CX$34</definedName>
    <definedName name="NERC_Average_All_Sources">'Carbon Calc 041118'!$CY$9:$CY$19</definedName>
    <definedName name="NERC_Average_Fossil">'Carbon Calc 041118'!$CZ$9:$CZ$19</definedName>
    <definedName name="_xlnm.Print_Area" localSheetId="2">Assumptions!$B$43:$I$53</definedName>
    <definedName name="_xlnm.Print_Area" localSheetId="4">'Carbon Calc 041118'!$C$2:$Q$62</definedName>
    <definedName name="_xlnm.Print_Area" localSheetId="0">'CHP Payback'!$B$1:$F$76</definedName>
    <definedName name="_xlnm.Print_Area" localSheetId="3">'Life Cycle Cost '!$C$34:$H$50</definedName>
    <definedName name="US_Average_All_Sources">'Carbon Calc 041118'!$CU$9:$CU$60</definedName>
    <definedName name="US_Average_Fossil">'Carbon Calc 041118'!$CV$9:$CV$60</definedName>
  </definedNames>
  <calcPr calcId="171027"/>
</workbook>
</file>

<file path=xl/calcChain.xml><?xml version="1.0" encoding="utf-8"?>
<calcChain xmlns="http://schemas.openxmlformats.org/spreadsheetml/2006/main">
  <c r="E24" i="10" l="1"/>
  <c r="E21" i="10"/>
  <c r="K106" i="3"/>
  <c r="CA206" i="10" l="1"/>
  <c r="BZ206" i="10"/>
  <c r="BY206" i="10"/>
  <c r="BX206" i="10"/>
  <c r="CA198" i="10"/>
  <c r="CA197" i="10"/>
  <c r="CA196" i="10"/>
  <c r="BZ196" i="10"/>
  <c r="CA193" i="10"/>
  <c r="CA190" i="10"/>
  <c r="BX190" i="10"/>
  <c r="CA189" i="10"/>
  <c r="CA187" i="10"/>
  <c r="BZ187" i="10"/>
  <c r="CA186" i="10"/>
  <c r="BZ186" i="10"/>
  <c r="BY186" i="10"/>
  <c r="BX186" i="10"/>
  <c r="CA185" i="10"/>
  <c r="BZ185" i="10"/>
  <c r="BY185" i="10"/>
  <c r="BX185" i="10"/>
  <c r="CA184" i="10"/>
  <c r="BZ184" i="10"/>
  <c r="BY184" i="10"/>
  <c r="BX184" i="10"/>
  <c r="CA183" i="10"/>
  <c r="BZ183" i="10"/>
  <c r="BY183" i="10"/>
  <c r="BX183" i="10"/>
  <c r="CA182" i="10"/>
  <c r="BZ182" i="10"/>
  <c r="BY182" i="10"/>
  <c r="BX182" i="10"/>
  <c r="CA181" i="10"/>
  <c r="BZ181" i="10"/>
  <c r="BY181" i="10"/>
  <c r="BX181" i="10"/>
  <c r="CA180" i="10"/>
  <c r="BZ180" i="10"/>
  <c r="BY180" i="10"/>
  <c r="BX180" i="10"/>
  <c r="CA179" i="10"/>
  <c r="BZ179" i="10"/>
  <c r="BY179" i="10"/>
  <c r="BX179" i="10"/>
  <c r="CA178" i="10"/>
  <c r="BZ178" i="10"/>
  <c r="BY178" i="10"/>
  <c r="BX178" i="10"/>
  <c r="CA177" i="10"/>
  <c r="BZ177" i="10"/>
  <c r="BY177" i="10"/>
  <c r="BX177" i="10"/>
  <c r="CA176" i="10"/>
  <c r="BZ176" i="10"/>
  <c r="BY176" i="10"/>
  <c r="BX176" i="10"/>
  <c r="CA175" i="10"/>
  <c r="BZ175" i="10"/>
  <c r="BY175" i="10"/>
  <c r="BX175" i="10"/>
  <c r="CA174" i="10"/>
  <c r="BZ174" i="10"/>
  <c r="BY174" i="10"/>
  <c r="BX174" i="10"/>
  <c r="CA173" i="10"/>
  <c r="BZ173" i="10"/>
  <c r="BY173" i="10"/>
  <c r="BX173" i="10"/>
  <c r="CA172" i="10"/>
  <c r="BZ172" i="10"/>
  <c r="BY172" i="10"/>
  <c r="BX172" i="10"/>
  <c r="CA171" i="10"/>
  <c r="BZ171" i="10"/>
  <c r="BY171" i="10"/>
  <c r="BX171" i="10"/>
  <c r="CA170" i="10"/>
  <c r="BZ170" i="10"/>
  <c r="BY170" i="10"/>
  <c r="BX170" i="10"/>
  <c r="CA169" i="10"/>
  <c r="BZ169" i="10"/>
  <c r="BY169" i="10"/>
  <c r="BX169" i="10"/>
  <c r="CA168" i="10"/>
  <c r="BZ168" i="10"/>
  <c r="BY168" i="10"/>
  <c r="BX168" i="10"/>
  <c r="CA167" i="10"/>
  <c r="BZ167" i="10"/>
  <c r="BY167" i="10"/>
  <c r="BX167" i="10"/>
  <c r="CA166" i="10"/>
  <c r="BZ166" i="10"/>
  <c r="BY166" i="10"/>
  <c r="BX166" i="10"/>
  <c r="CA165" i="10"/>
  <c r="BZ165" i="10"/>
  <c r="BY165" i="10"/>
  <c r="BX165" i="10"/>
  <c r="CA164" i="10"/>
  <c r="BZ164" i="10"/>
  <c r="BY164" i="10"/>
  <c r="BX164" i="10"/>
  <c r="CA163" i="10"/>
  <c r="BZ163" i="10"/>
  <c r="BY163" i="10"/>
  <c r="BX163" i="10"/>
  <c r="CA162" i="10"/>
  <c r="BZ162" i="10"/>
  <c r="BY162" i="10"/>
  <c r="BX162" i="10"/>
  <c r="CA161" i="10"/>
  <c r="BZ161" i="10"/>
  <c r="BY161" i="10"/>
  <c r="BX161" i="10"/>
  <c r="CA160" i="10"/>
  <c r="BZ160" i="10"/>
  <c r="BY160" i="10"/>
  <c r="BX160" i="10"/>
  <c r="CA159" i="10"/>
  <c r="BZ159" i="10"/>
  <c r="BY159" i="10"/>
  <c r="BX159" i="10"/>
  <c r="CA158" i="10"/>
  <c r="BZ158" i="10"/>
  <c r="BY158" i="10"/>
  <c r="BX158" i="10"/>
  <c r="CA157" i="10"/>
  <c r="BZ157" i="10"/>
  <c r="BY157" i="10"/>
  <c r="BX157" i="10"/>
  <c r="CA156" i="10"/>
  <c r="BZ156" i="10"/>
  <c r="BY156" i="10"/>
  <c r="BX156" i="10"/>
  <c r="CA155" i="10"/>
  <c r="BZ155" i="10"/>
  <c r="BY155" i="10"/>
  <c r="BX155" i="10"/>
  <c r="CA154" i="10"/>
  <c r="BZ154" i="10"/>
  <c r="BY154" i="10"/>
  <c r="BX154" i="10"/>
  <c r="CA153" i="10"/>
  <c r="BZ153" i="10"/>
  <c r="BY153" i="10"/>
  <c r="BX153" i="10"/>
  <c r="CA152" i="10"/>
  <c r="BZ152" i="10"/>
  <c r="BY152" i="10"/>
  <c r="BX152" i="10"/>
  <c r="CA151" i="10"/>
  <c r="BZ151" i="10"/>
  <c r="BY151" i="10"/>
  <c r="BX151" i="10"/>
  <c r="CA150" i="10"/>
  <c r="BZ150" i="10"/>
  <c r="BY150" i="10"/>
  <c r="BX150" i="10"/>
  <c r="CA149" i="10"/>
  <c r="BZ149" i="10"/>
  <c r="BY149" i="10"/>
  <c r="BX149" i="10"/>
  <c r="CA148" i="10"/>
  <c r="BZ148" i="10"/>
  <c r="BY148" i="10"/>
  <c r="BX148" i="10"/>
  <c r="CA147" i="10"/>
  <c r="BZ147" i="10"/>
  <c r="BY147" i="10"/>
  <c r="BX147" i="10"/>
  <c r="CA146" i="10"/>
  <c r="BZ146" i="10"/>
  <c r="BY146" i="10"/>
  <c r="BX146" i="10"/>
  <c r="CA145" i="10"/>
  <c r="BZ145" i="10"/>
  <c r="BY145" i="10"/>
  <c r="BX145" i="10"/>
  <c r="CA144" i="10"/>
  <c r="BZ144" i="10"/>
  <c r="BY144" i="10"/>
  <c r="BX144" i="10"/>
  <c r="CA143" i="10"/>
  <c r="BZ143" i="10"/>
  <c r="BY143" i="10"/>
  <c r="BX143" i="10"/>
  <c r="CA142" i="10"/>
  <c r="BZ142" i="10"/>
  <c r="BY142" i="10"/>
  <c r="BX142" i="10"/>
  <c r="CA141" i="10"/>
  <c r="BZ141" i="10"/>
  <c r="BY141" i="10"/>
  <c r="BX141" i="10"/>
  <c r="CA140" i="10"/>
  <c r="BZ140" i="10"/>
  <c r="BY140" i="10"/>
  <c r="BX140" i="10"/>
  <c r="CA139" i="10"/>
  <c r="BZ139" i="10"/>
  <c r="BY139" i="10"/>
  <c r="BX139" i="10"/>
  <c r="CA138" i="10"/>
  <c r="BZ138" i="10"/>
  <c r="BY138" i="10"/>
  <c r="BX138" i="10"/>
  <c r="CA137" i="10"/>
  <c r="BZ137" i="10"/>
  <c r="BY137" i="10"/>
  <c r="BX137" i="10"/>
  <c r="CA136" i="10"/>
  <c r="BZ136" i="10"/>
  <c r="BY136" i="10"/>
  <c r="BX136" i="10"/>
  <c r="CA135" i="10"/>
  <c r="BZ135" i="10"/>
  <c r="BY135" i="10"/>
  <c r="BX135" i="10"/>
  <c r="CA134" i="10"/>
  <c r="BZ134" i="10"/>
  <c r="BY134" i="10"/>
  <c r="BX134" i="10"/>
  <c r="CA133" i="10"/>
  <c r="BZ133" i="10"/>
  <c r="BY133" i="10"/>
  <c r="BX133" i="10"/>
  <c r="CA132" i="10"/>
  <c r="BZ132" i="10"/>
  <c r="BY132" i="10"/>
  <c r="BX132" i="10"/>
  <c r="CA131" i="10"/>
  <c r="BZ131" i="10"/>
  <c r="BY131" i="10"/>
  <c r="BX131" i="10"/>
  <c r="CA130" i="10"/>
  <c r="BZ130" i="10"/>
  <c r="BY130" i="10"/>
  <c r="BX130" i="10"/>
  <c r="CA129" i="10"/>
  <c r="BZ129" i="10"/>
  <c r="BY129" i="10"/>
  <c r="BX129" i="10"/>
  <c r="M129" i="10"/>
  <c r="M51" i="10" s="1"/>
  <c r="I129" i="10"/>
  <c r="I51" i="10" s="1"/>
  <c r="E129" i="10"/>
  <c r="F51" i="10" s="1"/>
  <c r="CA128" i="10"/>
  <c r="BZ128" i="10"/>
  <c r="BY128" i="10"/>
  <c r="BX128" i="10"/>
  <c r="G128" i="10"/>
  <c r="G45" i="10" s="1"/>
  <c r="CA127" i="10"/>
  <c r="BZ127" i="10"/>
  <c r="BY127" i="10"/>
  <c r="BX127" i="10"/>
  <c r="Q127" i="10"/>
  <c r="Q39" i="10" s="1"/>
  <c r="CA126" i="10"/>
  <c r="BZ126" i="10"/>
  <c r="BY126" i="10"/>
  <c r="BX126" i="10"/>
  <c r="O126" i="10"/>
  <c r="O33" i="10" s="1"/>
  <c r="G126" i="10"/>
  <c r="G33" i="10" s="1"/>
  <c r="CA125" i="10"/>
  <c r="BZ125" i="10"/>
  <c r="BY125" i="10"/>
  <c r="BX125" i="10"/>
  <c r="M125" i="10"/>
  <c r="M50" i="10" s="1"/>
  <c r="E125" i="10"/>
  <c r="F50" i="10" s="1"/>
  <c r="CA124" i="10"/>
  <c r="BZ124" i="10"/>
  <c r="BY124" i="10"/>
  <c r="BX124" i="10"/>
  <c r="O124" i="10"/>
  <c r="O44" i="10" s="1"/>
  <c r="K124" i="10"/>
  <c r="K44" i="10" s="1"/>
  <c r="CA123" i="10"/>
  <c r="BZ123" i="10"/>
  <c r="BY123" i="10"/>
  <c r="BX123" i="10"/>
  <c r="M123" i="10"/>
  <c r="M38" i="10" s="1"/>
  <c r="CA122" i="10"/>
  <c r="BZ122" i="10"/>
  <c r="BY122" i="10"/>
  <c r="BX122" i="10"/>
  <c r="O122" i="10"/>
  <c r="O32" i="10" s="1"/>
  <c r="K122" i="10"/>
  <c r="G122" i="10"/>
  <c r="G32" i="10" s="1"/>
  <c r="CA121" i="10"/>
  <c r="BZ121" i="10"/>
  <c r="BY121" i="10"/>
  <c r="BX121" i="10"/>
  <c r="E121" i="10"/>
  <c r="F49" i="10" s="1"/>
  <c r="CA120" i="10"/>
  <c r="BZ120" i="10"/>
  <c r="BY120" i="10"/>
  <c r="BX120" i="10"/>
  <c r="CA119" i="10"/>
  <c r="BZ119" i="10"/>
  <c r="BY119" i="10"/>
  <c r="BX119" i="10"/>
  <c r="Q119" i="10"/>
  <c r="Q37" i="10" s="1"/>
  <c r="E119" i="10"/>
  <c r="F37" i="10" s="1"/>
  <c r="CA118" i="10"/>
  <c r="BZ118" i="10"/>
  <c r="BY118" i="10"/>
  <c r="BX118" i="10"/>
  <c r="O118" i="10"/>
  <c r="CA117" i="10"/>
  <c r="BZ117" i="10"/>
  <c r="BY117" i="10"/>
  <c r="BX117" i="10"/>
  <c r="CA116" i="10"/>
  <c r="BZ116" i="10"/>
  <c r="BY116" i="10"/>
  <c r="BX116" i="10"/>
  <c r="CA115" i="10"/>
  <c r="BZ115" i="10"/>
  <c r="BY115" i="10"/>
  <c r="BX115" i="10"/>
  <c r="CA114" i="10"/>
  <c r="BZ114" i="10"/>
  <c r="BY114" i="10"/>
  <c r="BX114" i="10"/>
  <c r="CA113" i="10"/>
  <c r="BZ113" i="10"/>
  <c r="BY113" i="10"/>
  <c r="BX113" i="10"/>
  <c r="E113" i="10"/>
  <c r="Q129" i="10" s="1"/>
  <c r="Q51" i="10" s="1"/>
  <c r="CA112" i="10"/>
  <c r="BZ112" i="10"/>
  <c r="BY112" i="10"/>
  <c r="BX112" i="10"/>
  <c r="E112" i="10"/>
  <c r="CA111" i="10"/>
  <c r="BZ111" i="10"/>
  <c r="BY111" i="10"/>
  <c r="BX111" i="10"/>
  <c r="E111" i="10"/>
  <c r="M127" i="10" s="1"/>
  <c r="M39" i="10" s="1"/>
  <c r="CA110" i="10"/>
  <c r="BZ110" i="10"/>
  <c r="BY110" i="10"/>
  <c r="BX110" i="10"/>
  <c r="E110" i="10"/>
  <c r="CA109" i="10"/>
  <c r="BZ109" i="10"/>
  <c r="BY109" i="10"/>
  <c r="BX109" i="10"/>
  <c r="E109" i="10"/>
  <c r="G124" i="10" s="1"/>
  <c r="G44" i="10" s="1"/>
  <c r="CA108" i="10"/>
  <c r="BZ108" i="10"/>
  <c r="BY108" i="10"/>
  <c r="BX108" i="10"/>
  <c r="E108" i="10"/>
  <c r="CQ107" i="10"/>
  <c r="CA107" i="10"/>
  <c r="BZ107" i="10"/>
  <c r="BY107" i="10"/>
  <c r="BX107" i="10"/>
  <c r="CQ106" i="10"/>
  <c r="CA106" i="10"/>
  <c r="BZ106" i="10"/>
  <c r="BY106" i="10"/>
  <c r="BX106" i="10"/>
  <c r="E106" i="10"/>
  <c r="CQ105" i="10"/>
  <c r="CA105" i="10"/>
  <c r="BZ105" i="10"/>
  <c r="BY105" i="10"/>
  <c r="BX105" i="10"/>
  <c r="E105" i="10"/>
  <c r="CQ104" i="10"/>
  <c r="CA104" i="10"/>
  <c r="BZ104" i="10"/>
  <c r="BY104" i="10"/>
  <c r="BX104" i="10"/>
  <c r="CQ103" i="10"/>
  <c r="CA103" i="10"/>
  <c r="BZ103" i="10"/>
  <c r="BY103" i="10"/>
  <c r="BX103" i="10"/>
  <c r="CQ102" i="10"/>
  <c r="CA102" i="10"/>
  <c r="BZ102" i="10"/>
  <c r="BY102" i="10"/>
  <c r="BX102" i="10"/>
  <c r="CQ101" i="10"/>
  <c r="CA101" i="10"/>
  <c r="BZ101" i="10"/>
  <c r="BY101" i="10"/>
  <c r="BX101" i="10"/>
  <c r="CQ100" i="10"/>
  <c r="CA100" i="10"/>
  <c r="BZ100" i="10"/>
  <c r="BY100" i="10"/>
  <c r="BX100" i="10"/>
  <c r="CQ99" i="10"/>
  <c r="CA99" i="10"/>
  <c r="BZ99" i="10"/>
  <c r="BY99" i="10"/>
  <c r="BX99" i="10"/>
  <c r="CQ98" i="10"/>
  <c r="CA98" i="10"/>
  <c r="BZ98" i="10"/>
  <c r="BY98" i="10"/>
  <c r="BX98" i="10"/>
  <c r="CQ97" i="10"/>
  <c r="CA97" i="10"/>
  <c r="BZ97" i="10"/>
  <c r="BY97" i="10"/>
  <c r="BX97" i="10"/>
  <c r="CA96" i="10"/>
  <c r="BZ96" i="10"/>
  <c r="BY96" i="10"/>
  <c r="BX96" i="10"/>
  <c r="CA95" i="10"/>
  <c r="BZ95" i="10"/>
  <c r="BY95" i="10"/>
  <c r="BX95" i="10"/>
  <c r="Q95" i="10"/>
  <c r="Q126" i="10" s="1"/>
  <c r="Q33" i="10" s="1"/>
  <c r="O95" i="10"/>
  <c r="M95" i="10"/>
  <c r="M128" i="10" s="1"/>
  <c r="K95" i="10"/>
  <c r="I95" i="10"/>
  <c r="I126" i="10" s="1"/>
  <c r="G95" i="10"/>
  <c r="E95" i="10"/>
  <c r="E128" i="10" s="1"/>
  <c r="F45" i="10" s="1"/>
  <c r="CA94" i="10"/>
  <c r="BZ94" i="10"/>
  <c r="BY94" i="10"/>
  <c r="BX94" i="10"/>
  <c r="Q94" i="10"/>
  <c r="O94" i="10"/>
  <c r="O125" i="10" s="1"/>
  <c r="M94" i="10"/>
  <c r="K94" i="10"/>
  <c r="K123" i="10" s="1"/>
  <c r="I94" i="10"/>
  <c r="I123" i="10" s="1"/>
  <c r="I38" i="10" s="1"/>
  <c r="G94" i="10"/>
  <c r="G125" i="10" s="1"/>
  <c r="G50" i="10" s="1"/>
  <c r="E94" i="10"/>
  <c r="CA93" i="10"/>
  <c r="BZ93" i="10"/>
  <c r="BY93" i="10"/>
  <c r="BX93" i="10"/>
  <c r="Q93" i="10"/>
  <c r="Q118" i="10" s="1"/>
  <c r="O93" i="10"/>
  <c r="O120" i="10" s="1"/>
  <c r="O43" i="10" s="1"/>
  <c r="E93" i="10"/>
  <c r="E118" i="10" s="1"/>
  <c r="CA92" i="10"/>
  <c r="BZ92" i="10"/>
  <c r="BY92" i="10"/>
  <c r="BX92" i="10"/>
  <c r="Q92" i="10"/>
  <c r="O92" i="10"/>
  <c r="M92" i="10"/>
  <c r="K92" i="10"/>
  <c r="I92" i="10"/>
  <c r="G92" i="10"/>
  <c r="CA91" i="10"/>
  <c r="BZ91" i="10"/>
  <c r="BY91" i="10"/>
  <c r="BX91" i="10"/>
  <c r="E91" i="10"/>
  <c r="E100" i="10" s="1"/>
  <c r="CA90" i="10"/>
  <c r="BZ90" i="10"/>
  <c r="BY90" i="10"/>
  <c r="BX90" i="10"/>
  <c r="E90" i="10"/>
  <c r="CA89" i="10"/>
  <c r="BZ89" i="10"/>
  <c r="BY89" i="10"/>
  <c r="BX89" i="10"/>
  <c r="CA88" i="10"/>
  <c r="BZ88" i="10"/>
  <c r="BY88" i="10"/>
  <c r="BX88" i="10"/>
  <c r="CA87" i="10"/>
  <c r="BZ87" i="10"/>
  <c r="BY87" i="10"/>
  <c r="BX87" i="10"/>
  <c r="CA86" i="10"/>
  <c r="BZ86" i="10"/>
  <c r="BY86" i="10"/>
  <c r="BX86" i="10"/>
  <c r="CA85" i="10"/>
  <c r="BZ85" i="10"/>
  <c r="BY85" i="10"/>
  <c r="BX85" i="10"/>
  <c r="CA84" i="10"/>
  <c r="BZ84" i="10"/>
  <c r="BY84" i="10"/>
  <c r="BX84" i="10"/>
  <c r="CA83" i="10"/>
  <c r="BZ83" i="10"/>
  <c r="BY83" i="10"/>
  <c r="BX83" i="10"/>
  <c r="CA82" i="10"/>
  <c r="BZ82" i="10"/>
  <c r="BY82" i="10"/>
  <c r="BX82" i="10"/>
  <c r="CA81" i="10"/>
  <c r="BZ81" i="10"/>
  <c r="BY81" i="10"/>
  <c r="BX81" i="10"/>
  <c r="CA80" i="10"/>
  <c r="BZ80" i="10"/>
  <c r="BY80" i="10"/>
  <c r="BX80" i="10"/>
  <c r="CA79" i="10"/>
  <c r="BZ79" i="10"/>
  <c r="BY79" i="10"/>
  <c r="BX79" i="10"/>
  <c r="CA78" i="10"/>
  <c r="BZ78" i="10"/>
  <c r="BY78" i="10"/>
  <c r="BX78" i="10"/>
  <c r="CA77" i="10"/>
  <c r="BZ77" i="10"/>
  <c r="BY77" i="10"/>
  <c r="BX77" i="10"/>
  <c r="CA76" i="10"/>
  <c r="BZ76" i="10"/>
  <c r="BY76" i="10"/>
  <c r="BX76" i="10"/>
  <c r="CA75" i="10"/>
  <c r="BZ75" i="10"/>
  <c r="BY75" i="10"/>
  <c r="BX75" i="10"/>
  <c r="CA74" i="10"/>
  <c r="BZ74" i="10"/>
  <c r="BY74" i="10"/>
  <c r="BX74" i="10"/>
  <c r="CA73" i="10"/>
  <c r="BZ73" i="10"/>
  <c r="BY73" i="10"/>
  <c r="BX73" i="10"/>
  <c r="CA72" i="10"/>
  <c r="BZ72" i="10"/>
  <c r="BY72" i="10"/>
  <c r="BX72" i="10"/>
  <c r="CA71" i="10"/>
  <c r="BZ71" i="10"/>
  <c r="BY71" i="10"/>
  <c r="BX71" i="10"/>
  <c r="E71" i="10"/>
  <c r="E107" i="10" s="1"/>
  <c r="CA70" i="10"/>
  <c r="BZ70" i="10"/>
  <c r="BY70" i="10"/>
  <c r="BX70" i="10"/>
  <c r="CA69" i="10"/>
  <c r="BZ69" i="10"/>
  <c r="BY69" i="10"/>
  <c r="BX69" i="10"/>
  <c r="CA68" i="10"/>
  <c r="BZ68" i="10"/>
  <c r="BY68" i="10"/>
  <c r="BX68" i="10"/>
  <c r="CA67" i="10"/>
  <c r="BZ67" i="10"/>
  <c r="BY67" i="10"/>
  <c r="BX67" i="10"/>
  <c r="CA66" i="10"/>
  <c r="BZ66" i="10"/>
  <c r="BY66" i="10"/>
  <c r="BX66" i="10"/>
  <c r="CA65" i="10"/>
  <c r="BZ65" i="10"/>
  <c r="BY65" i="10"/>
  <c r="BX65" i="10"/>
  <c r="CA64" i="10"/>
  <c r="BZ64" i="10"/>
  <c r="BY64" i="10"/>
  <c r="BX64" i="10"/>
  <c r="CA63" i="10"/>
  <c r="BZ63" i="10"/>
  <c r="BY63" i="10"/>
  <c r="BX63" i="10"/>
  <c r="CA62" i="10"/>
  <c r="BZ62" i="10"/>
  <c r="BY62" i="10"/>
  <c r="BX62" i="10"/>
  <c r="CA61" i="10"/>
  <c r="BZ61" i="10"/>
  <c r="BY61" i="10"/>
  <c r="BX61" i="10"/>
  <c r="CA60" i="10"/>
  <c r="BZ60" i="10"/>
  <c r="BY60" i="10"/>
  <c r="BX60" i="10"/>
  <c r="BW60" i="10"/>
  <c r="CA59" i="10"/>
  <c r="BZ59" i="10"/>
  <c r="BY59" i="10"/>
  <c r="BX59" i="10"/>
  <c r="BW59" i="10"/>
  <c r="CA58" i="10"/>
  <c r="BZ58" i="10"/>
  <c r="BY58" i="10"/>
  <c r="BX58" i="10"/>
  <c r="BW58" i="10"/>
  <c r="CA57" i="10"/>
  <c r="BZ57" i="10"/>
  <c r="BY57" i="10"/>
  <c r="BX57" i="10"/>
  <c r="BW57" i="10"/>
  <c r="CA56" i="10"/>
  <c r="BZ56" i="10"/>
  <c r="BY56" i="10"/>
  <c r="BX56" i="10"/>
  <c r="BW56" i="10"/>
  <c r="CA55" i="10"/>
  <c r="BZ55" i="10"/>
  <c r="BY55" i="10"/>
  <c r="BX55" i="10"/>
  <c r="BW55" i="10"/>
  <c r="CA54" i="10"/>
  <c r="BZ54" i="10"/>
  <c r="BY54" i="10"/>
  <c r="BX54" i="10"/>
  <c r="BW54" i="10"/>
  <c r="CA53" i="10"/>
  <c r="BZ53" i="10"/>
  <c r="BY53" i="10"/>
  <c r="BX53" i="10"/>
  <c r="BW53" i="10"/>
  <c r="CA52" i="10"/>
  <c r="BZ52" i="10"/>
  <c r="BY52" i="10"/>
  <c r="BX52" i="10"/>
  <c r="BW52" i="10"/>
  <c r="CA51" i="10"/>
  <c r="BZ51" i="10"/>
  <c r="BY51" i="10"/>
  <c r="BX51" i="10"/>
  <c r="BW51" i="10"/>
  <c r="CA50" i="10"/>
  <c r="BZ50" i="10"/>
  <c r="BY50" i="10"/>
  <c r="BX50" i="10"/>
  <c r="BW50" i="10"/>
  <c r="O50" i="10"/>
  <c r="CA49" i="10"/>
  <c r="BZ49" i="10"/>
  <c r="BY49" i="10"/>
  <c r="BX49" i="10"/>
  <c r="BW49" i="10"/>
  <c r="CA48" i="10"/>
  <c r="BZ48" i="10"/>
  <c r="BY48" i="10"/>
  <c r="BX48" i="10"/>
  <c r="BW48" i="10"/>
  <c r="CA47" i="10"/>
  <c r="BZ47" i="10"/>
  <c r="BY47" i="10"/>
  <c r="BX47" i="10"/>
  <c r="BW47" i="10"/>
  <c r="CA46" i="10"/>
  <c r="BZ46" i="10"/>
  <c r="BY46" i="10"/>
  <c r="BX46" i="10"/>
  <c r="BW46" i="10"/>
  <c r="CA45" i="10"/>
  <c r="BZ45" i="10"/>
  <c r="BY45" i="10"/>
  <c r="BX45" i="10"/>
  <c r="BW45" i="10"/>
  <c r="M45" i="10"/>
  <c r="CA44" i="10"/>
  <c r="BZ44" i="10"/>
  <c r="BY44" i="10"/>
  <c r="BX44" i="10"/>
  <c r="BW44" i="10"/>
  <c r="CA43" i="10"/>
  <c r="BZ43" i="10"/>
  <c r="BY43" i="10"/>
  <c r="BX43" i="10"/>
  <c r="BW43" i="10"/>
  <c r="CA42" i="10"/>
  <c r="BZ42" i="10"/>
  <c r="BY42" i="10"/>
  <c r="BX42" i="10"/>
  <c r="BW42" i="10"/>
  <c r="CA41" i="10"/>
  <c r="BZ41" i="10"/>
  <c r="BY41" i="10"/>
  <c r="BX41" i="10"/>
  <c r="BW41" i="10"/>
  <c r="CA40" i="10"/>
  <c r="BZ40" i="10"/>
  <c r="BY40" i="10"/>
  <c r="BX40" i="10"/>
  <c r="BW40" i="10"/>
  <c r="CA39" i="10"/>
  <c r="BZ39" i="10"/>
  <c r="BY39" i="10"/>
  <c r="BX39" i="10"/>
  <c r="BW39" i="10"/>
  <c r="CA38" i="10"/>
  <c r="BZ38" i="10"/>
  <c r="BY38" i="10"/>
  <c r="BX38" i="10"/>
  <c r="BW38" i="10"/>
  <c r="K38" i="10"/>
  <c r="CA37" i="10"/>
  <c r="BZ37" i="10"/>
  <c r="BY37" i="10"/>
  <c r="BX37" i="10"/>
  <c r="BW37" i="10"/>
  <c r="CA36" i="10"/>
  <c r="BZ36" i="10"/>
  <c r="BY36" i="10"/>
  <c r="BX36" i="10"/>
  <c r="BW36" i="10"/>
  <c r="CA35" i="10"/>
  <c r="BZ35" i="10"/>
  <c r="BY35" i="10"/>
  <c r="BX35" i="10"/>
  <c r="BW35" i="10"/>
  <c r="CA34" i="10"/>
  <c r="BZ34" i="10"/>
  <c r="BY34" i="10"/>
  <c r="BX34" i="10"/>
  <c r="BW34" i="10"/>
  <c r="CA33" i="10"/>
  <c r="BZ33" i="10"/>
  <c r="BY33" i="10"/>
  <c r="BX33" i="10"/>
  <c r="BW33" i="10"/>
  <c r="I33" i="10"/>
  <c r="CA32" i="10"/>
  <c r="BZ32" i="10"/>
  <c r="BY32" i="10"/>
  <c r="BX32" i="10"/>
  <c r="BW32" i="10"/>
  <c r="K32" i="10"/>
  <c r="CA31" i="10"/>
  <c r="BZ31" i="10"/>
  <c r="BY31" i="10"/>
  <c r="BX31" i="10"/>
  <c r="BW31" i="10"/>
  <c r="Q31" i="10"/>
  <c r="F31" i="10"/>
  <c r="CA30" i="10"/>
  <c r="BZ30" i="10"/>
  <c r="BY30" i="10"/>
  <c r="BX30" i="10"/>
  <c r="BW30" i="10"/>
  <c r="CA29" i="10"/>
  <c r="BZ29" i="10"/>
  <c r="BY29" i="10"/>
  <c r="BX29" i="10"/>
  <c r="BW29" i="10"/>
  <c r="CA28" i="10"/>
  <c r="BZ28" i="10"/>
  <c r="BY28" i="10"/>
  <c r="BX28" i="10"/>
  <c r="BW28" i="10"/>
  <c r="Q28" i="10"/>
  <c r="O28" i="10"/>
  <c r="M28" i="10"/>
  <c r="K28" i="10"/>
  <c r="I28" i="10"/>
  <c r="G28" i="10"/>
  <c r="CA27" i="10"/>
  <c r="BZ27" i="10"/>
  <c r="BY27" i="10"/>
  <c r="BX27" i="10"/>
  <c r="BW27" i="10"/>
  <c r="G27" i="10"/>
  <c r="CA26" i="10"/>
  <c r="BZ26" i="10"/>
  <c r="BY26" i="10"/>
  <c r="BX26" i="10"/>
  <c r="BW26" i="10"/>
  <c r="CA25" i="10"/>
  <c r="BZ25" i="10"/>
  <c r="BY25" i="10"/>
  <c r="BX25" i="10"/>
  <c r="BW25" i="10"/>
  <c r="F24" i="10"/>
  <c r="E25" i="10" s="1"/>
  <c r="F22" i="2" s="1"/>
  <c r="CA24" i="10"/>
  <c r="BZ24" i="10"/>
  <c r="BY24" i="10"/>
  <c r="BX24" i="10"/>
  <c r="BW24" i="10"/>
  <c r="CA23" i="10"/>
  <c r="BZ23" i="10"/>
  <c r="BY23" i="10"/>
  <c r="BX23" i="10"/>
  <c r="BW23" i="10"/>
  <c r="CA22" i="10"/>
  <c r="BZ22" i="10"/>
  <c r="BY22" i="10"/>
  <c r="BX22" i="10"/>
  <c r="BW22" i="10"/>
  <c r="CA21" i="10"/>
  <c r="BZ21" i="10"/>
  <c r="BY21" i="10"/>
  <c r="BX21" i="10"/>
  <c r="BW21" i="10"/>
  <c r="CA20" i="10"/>
  <c r="BZ20" i="10"/>
  <c r="BY20" i="10"/>
  <c r="BX20" i="10"/>
  <c r="BW20" i="10"/>
  <c r="BF20" i="10"/>
  <c r="BE20" i="10"/>
  <c r="BD20" i="10"/>
  <c r="BR19" i="10" s="1"/>
  <c r="BX198" i="10" s="1"/>
  <c r="CA19" i="10"/>
  <c r="BZ19" i="10"/>
  <c r="BY19" i="10"/>
  <c r="BX19" i="10"/>
  <c r="BW19" i="10"/>
  <c r="BS19" i="10"/>
  <c r="BZ198" i="10" s="1"/>
  <c r="BL19" i="10"/>
  <c r="BO19" i="10" s="1"/>
  <c r="BK19" i="10"/>
  <c r="BN19" i="10" s="1"/>
  <c r="BT19" i="10" s="1"/>
  <c r="BY198" i="10" s="1"/>
  <c r="BF19" i="10"/>
  <c r="BE19" i="10"/>
  <c r="BD19" i="10"/>
  <c r="CA18" i="10"/>
  <c r="BZ18" i="10"/>
  <c r="BY18" i="10"/>
  <c r="BX18" i="10"/>
  <c r="BW18" i="10"/>
  <c r="BR18" i="10"/>
  <c r="BX197" i="10" s="1"/>
  <c r="BO18" i="10"/>
  <c r="BS18" i="10" s="1"/>
  <c r="BZ197" i="10" s="1"/>
  <c r="BL18" i="10"/>
  <c r="BK18" i="10"/>
  <c r="BN18" i="10" s="1"/>
  <c r="BT18" i="10" s="1"/>
  <c r="BY197" i="10" s="1"/>
  <c r="BF18" i="10"/>
  <c r="BE18" i="10"/>
  <c r="BD18" i="10"/>
  <c r="CA17" i="10"/>
  <c r="BZ17" i="10"/>
  <c r="BY17" i="10"/>
  <c r="BX17" i="10"/>
  <c r="BW17" i="10"/>
  <c r="BT17" i="10"/>
  <c r="BY196" i="10" s="1"/>
  <c r="BR17" i="10"/>
  <c r="BX196" i="10" s="1"/>
  <c r="BO17" i="10"/>
  <c r="BS17" i="10" s="1"/>
  <c r="BN17" i="10"/>
  <c r="BL17" i="10"/>
  <c r="BK17" i="10"/>
  <c r="BF17" i="10"/>
  <c r="BE17" i="10"/>
  <c r="BD17" i="10"/>
  <c r="CA16" i="10"/>
  <c r="BZ16" i="10"/>
  <c r="BY16" i="10"/>
  <c r="BX16" i="10"/>
  <c r="BW16" i="10"/>
  <c r="BT16" i="10"/>
  <c r="BY195" i="10" s="1"/>
  <c r="BS16" i="10"/>
  <c r="BZ195" i="10" s="1"/>
  <c r="BR16" i="10"/>
  <c r="BN16" i="10"/>
  <c r="BL16" i="10"/>
  <c r="BO16" i="10" s="1"/>
  <c r="BK16" i="10"/>
  <c r="BF16" i="10"/>
  <c r="BE16" i="10"/>
  <c r="BD16" i="10"/>
  <c r="BR15" i="10" s="1"/>
  <c r="CA15" i="10"/>
  <c r="BZ15" i="10"/>
  <c r="BY15" i="10"/>
  <c r="BX15" i="10"/>
  <c r="BW15" i="10"/>
  <c r="BS15" i="10"/>
  <c r="BZ194" i="10" s="1"/>
  <c r="BL15" i="10"/>
  <c r="BO15" i="10" s="1"/>
  <c r="BK15" i="10"/>
  <c r="BN15" i="10" s="1"/>
  <c r="BT15" i="10" s="1"/>
  <c r="BY194" i="10" s="1"/>
  <c r="BF15" i="10"/>
  <c r="BE15" i="10"/>
  <c r="BD15" i="10"/>
  <c r="CA14" i="10"/>
  <c r="BZ14" i="10"/>
  <c r="BY14" i="10"/>
  <c r="BX14" i="10"/>
  <c r="BW14" i="10"/>
  <c r="BR14" i="10"/>
  <c r="BX193" i="10" s="1"/>
  <c r="BO14" i="10"/>
  <c r="BS14" i="10" s="1"/>
  <c r="BZ193" i="10" s="1"/>
  <c r="BL14" i="10"/>
  <c r="BK14" i="10"/>
  <c r="BN14" i="10" s="1"/>
  <c r="BT14" i="10" s="1"/>
  <c r="BY193" i="10" s="1"/>
  <c r="BF14" i="10"/>
  <c r="BE14" i="10"/>
  <c r="BD14" i="10"/>
  <c r="CA13" i="10"/>
  <c r="BZ13" i="10"/>
  <c r="BY13" i="10"/>
  <c r="BX13" i="10"/>
  <c r="BW13" i="10"/>
  <c r="BT13" i="10"/>
  <c r="BY191" i="10" s="1"/>
  <c r="BR13" i="10"/>
  <c r="BO13" i="10"/>
  <c r="BS13" i="10" s="1"/>
  <c r="BZ191" i="10" s="1"/>
  <c r="BN13" i="10"/>
  <c r="BL13" i="10"/>
  <c r="BK13" i="10"/>
  <c r="BF13" i="10"/>
  <c r="BE13" i="10"/>
  <c r="BD13" i="10"/>
  <c r="CA12" i="10"/>
  <c r="BZ12" i="10"/>
  <c r="BY12" i="10"/>
  <c r="BX12" i="10"/>
  <c r="BW12" i="10"/>
  <c r="BT12" i="10"/>
  <c r="BY190" i="10" s="1"/>
  <c r="BS12" i="10"/>
  <c r="BZ190" i="10" s="1"/>
  <c r="BR12" i="10"/>
  <c r="BN12" i="10"/>
  <c r="BL12" i="10"/>
  <c r="BO12" i="10" s="1"/>
  <c r="BK12" i="10"/>
  <c r="BF12" i="10"/>
  <c r="BE12" i="10"/>
  <c r="BD12" i="10"/>
  <c r="BR11" i="10" s="1"/>
  <c r="BX189" i="10" s="1"/>
  <c r="CA11" i="10"/>
  <c r="BZ11" i="10"/>
  <c r="BY11" i="10"/>
  <c r="BX11" i="10"/>
  <c r="BW11" i="10"/>
  <c r="BS11" i="10"/>
  <c r="BZ189" i="10" s="1"/>
  <c r="BL11" i="10"/>
  <c r="BO11" i="10" s="1"/>
  <c r="BK11" i="10"/>
  <c r="BN11" i="10" s="1"/>
  <c r="BT11" i="10" s="1"/>
  <c r="BY189" i="10" s="1"/>
  <c r="BF11" i="10"/>
  <c r="BE11" i="10"/>
  <c r="BD11" i="10"/>
  <c r="CA10" i="10"/>
  <c r="BZ10" i="10"/>
  <c r="BY10" i="10"/>
  <c r="BX10" i="10"/>
  <c r="BW10" i="10"/>
  <c r="BR10" i="10"/>
  <c r="BO10" i="10"/>
  <c r="BS10" i="10" s="1"/>
  <c r="BZ188" i="10" s="1"/>
  <c r="BL10" i="10"/>
  <c r="BK10" i="10"/>
  <c r="BN10" i="10" s="1"/>
  <c r="BT10" i="10" s="1"/>
  <c r="BY188" i="10" s="1"/>
  <c r="BF10" i="10"/>
  <c r="BE10" i="10"/>
  <c r="BD10" i="10"/>
  <c r="CV9" i="10"/>
  <c r="CA9" i="10"/>
  <c r="BZ9" i="10"/>
  <c r="BY9" i="10"/>
  <c r="BX9" i="10"/>
  <c r="BW9" i="10"/>
  <c r="BR9" i="10"/>
  <c r="BX187" i="10" s="1"/>
  <c r="BO9" i="10"/>
  <c r="BS9" i="10" s="1"/>
  <c r="BL9" i="10"/>
  <c r="BK9" i="10"/>
  <c r="BN9" i="10" s="1"/>
  <c r="BT9" i="10" s="1"/>
  <c r="BY187" i="10" s="1"/>
  <c r="CQ8" i="10"/>
  <c r="I122" i="10" l="1"/>
  <c r="I32" i="10" s="1"/>
  <c r="I124" i="10"/>
  <c r="I44" i="10" s="1"/>
  <c r="Q122" i="10"/>
  <c r="Q32" i="10" s="1"/>
  <c r="Q124" i="10"/>
  <c r="Q44" i="10" s="1"/>
  <c r="K127" i="10"/>
  <c r="K39" i="10" s="1"/>
  <c r="K129" i="10"/>
  <c r="K51" i="10" s="1"/>
  <c r="Q125" i="10"/>
  <c r="Q50" i="10" s="1"/>
  <c r="E127" i="10"/>
  <c r="F39" i="10" s="1"/>
  <c r="O121" i="10"/>
  <c r="O49" i="10" s="1"/>
  <c r="Q123" i="10"/>
  <c r="Q38" i="10" s="1"/>
  <c r="I127" i="10"/>
  <c r="I39" i="10" s="1"/>
  <c r="K128" i="10"/>
  <c r="K45" i="10" s="1"/>
  <c r="O31" i="10"/>
  <c r="E98" i="10"/>
  <c r="E99" i="10" s="1"/>
  <c r="E124" i="10"/>
  <c r="F44" i="10" s="1"/>
  <c r="E122" i="10"/>
  <c r="F32" i="10" s="1"/>
  <c r="M124" i="10"/>
  <c r="M44" i="10" s="1"/>
  <c r="M122" i="10"/>
  <c r="M32" i="10" s="1"/>
  <c r="G129" i="10"/>
  <c r="G51" i="10" s="1"/>
  <c r="G127" i="10"/>
  <c r="G39" i="10" s="1"/>
  <c r="O129" i="10"/>
  <c r="O51" i="10" s="1"/>
  <c r="O127" i="10"/>
  <c r="O39" i="10" s="1"/>
  <c r="Q121" i="10"/>
  <c r="Q49" i="10" s="1"/>
  <c r="E123" i="10"/>
  <c r="F38" i="10" s="1"/>
  <c r="I125" i="10"/>
  <c r="I50" i="10" s="1"/>
  <c r="K126" i="10"/>
  <c r="K33" i="10" s="1"/>
  <c r="O128" i="10"/>
  <c r="O45" i="10" s="1"/>
  <c r="O119" i="10"/>
  <c r="O37" i="10" s="1"/>
  <c r="Q120" i="10"/>
  <c r="Q43" i="10" s="1"/>
  <c r="G123" i="10"/>
  <c r="G38" i="10" s="1"/>
  <c r="O123" i="10"/>
  <c r="O38" i="10" s="1"/>
  <c r="K125" i="10"/>
  <c r="K50" i="10" s="1"/>
  <c r="E126" i="10"/>
  <c r="F33" i="10" s="1"/>
  <c r="M126" i="10"/>
  <c r="M33" i="10" s="1"/>
  <c r="I128" i="10"/>
  <c r="I45" i="10" s="1"/>
  <c r="Q128" i="10"/>
  <c r="Q45" i="10" s="1"/>
  <c r="E120" i="10"/>
  <c r="F43" i="10" s="1"/>
  <c r="E101" i="10" l="1"/>
  <c r="E103" i="10"/>
  <c r="E102" i="10"/>
  <c r="E104" i="10"/>
  <c r="Q117" i="10" l="1"/>
  <c r="M117" i="10"/>
  <c r="I117" i="10"/>
  <c r="K117" i="10"/>
  <c r="G117" i="10"/>
  <c r="O117" i="10"/>
  <c r="Q115" i="10"/>
  <c r="I115" i="10"/>
  <c r="K115" i="10"/>
  <c r="O115" i="10"/>
  <c r="M115" i="10"/>
  <c r="G115" i="10"/>
  <c r="G116" i="10"/>
  <c r="O116" i="10"/>
  <c r="K116" i="10"/>
  <c r="I116" i="10"/>
  <c r="M116" i="10"/>
  <c r="Q116" i="10"/>
  <c r="O114" i="10"/>
  <c r="O30" i="10" s="1"/>
  <c r="O34" i="10" s="1"/>
  <c r="K114" i="10"/>
  <c r="K30" i="10" s="1"/>
  <c r="G114" i="10"/>
  <c r="G30" i="10" s="1"/>
  <c r="M114" i="10"/>
  <c r="M30" i="10" s="1"/>
  <c r="I114" i="10"/>
  <c r="I30" i="10" s="1"/>
  <c r="Q114" i="10"/>
  <c r="Q30" i="10" s="1"/>
  <c r="Q34" i="10" s="1"/>
  <c r="M42" i="10" l="1"/>
  <c r="O42" i="10"/>
  <c r="O131" i="10"/>
  <c r="O130" i="10"/>
  <c r="O36" i="10"/>
  <c r="Q130" i="10"/>
  <c r="Q36" i="10"/>
  <c r="I48" i="10"/>
  <c r="I42" i="10"/>
  <c r="G42" i="10"/>
  <c r="O132" i="10"/>
  <c r="O48" i="10"/>
  <c r="G36" i="10"/>
  <c r="K36" i="10"/>
  <c r="G48" i="10"/>
  <c r="M48" i="10"/>
  <c r="Q42" i="10"/>
  <c r="Q131" i="10"/>
  <c r="K42" i="10"/>
  <c r="M36" i="10"/>
  <c r="I36" i="10"/>
  <c r="K48" i="10"/>
  <c r="Q132" i="10"/>
  <c r="Q48" i="10"/>
  <c r="Q46" i="10" l="1"/>
  <c r="O46" i="10"/>
  <c r="Q40" i="10"/>
  <c r="Q52" i="10"/>
  <c r="O52" i="10"/>
  <c r="O40" i="10"/>
  <c r="C27" i="2" l="1"/>
  <c r="P67" i="3" l="1"/>
  <c r="O67" i="3"/>
  <c r="N67" i="3"/>
  <c r="P66" i="3"/>
  <c r="O66" i="3"/>
  <c r="N66" i="3"/>
  <c r="M66" i="3"/>
  <c r="F27" i="2" l="1"/>
  <c r="F26" i="2" l="1"/>
  <c r="G48" i="3"/>
  <c r="H48" i="3"/>
  <c r="I48" i="3"/>
  <c r="G49" i="3"/>
  <c r="H49" i="3"/>
  <c r="I49" i="3"/>
  <c r="F58" i="2" s="1"/>
  <c r="P49" i="3"/>
  <c r="O49" i="3"/>
  <c r="P48" i="3"/>
  <c r="O48" i="3"/>
  <c r="M12" i="10" l="1"/>
  <c r="E37" i="3"/>
  <c r="M67" i="3" s="1"/>
  <c r="S36" i="3"/>
  <c r="R36" i="3"/>
  <c r="Q36" i="3"/>
  <c r="P36" i="3"/>
  <c r="O36" i="3"/>
  <c r="S35" i="3"/>
  <c r="R35" i="3"/>
  <c r="Q35" i="3"/>
  <c r="P35" i="3"/>
  <c r="O35" i="3"/>
  <c r="C26" i="2" l="1"/>
  <c r="D27" i="2"/>
  <c r="E27" i="2"/>
  <c r="F25" i="3"/>
  <c r="G25" i="3"/>
  <c r="H25" i="3"/>
  <c r="I25" i="3"/>
  <c r="J25" i="3"/>
  <c r="F24" i="3"/>
  <c r="G24" i="3"/>
  <c r="H24" i="3"/>
  <c r="I24" i="3"/>
  <c r="J24" i="3"/>
  <c r="Q26" i="3"/>
  <c r="P26" i="3"/>
  <c r="O26" i="3"/>
  <c r="Q25" i="3"/>
  <c r="P25" i="3"/>
  <c r="O25" i="3"/>
  <c r="Q24" i="3"/>
  <c r="P24" i="3"/>
  <c r="O24" i="3"/>
  <c r="D26" i="2" l="1"/>
  <c r="E26" i="2"/>
  <c r="S15" i="3"/>
  <c r="R15" i="3"/>
  <c r="Q15" i="3"/>
  <c r="P15" i="3"/>
  <c r="O15" i="3"/>
  <c r="S14" i="3"/>
  <c r="R14" i="3"/>
  <c r="Q14" i="3"/>
  <c r="P14" i="3"/>
  <c r="O14" i="3"/>
  <c r="D52" i="4" l="1"/>
  <c r="C10" i="4"/>
  <c r="C11" i="4" s="1"/>
  <c r="C12" i="4" s="1"/>
  <c r="C13" i="4" s="1"/>
  <c r="C14" i="4" s="1"/>
  <c r="C15" i="4" s="1"/>
  <c r="C16" i="4" s="1"/>
  <c r="C17" i="4" s="1"/>
  <c r="C18" i="4" s="1"/>
  <c r="C19" i="4" s="1"/>
  <c r="C20" i="4" s="1"/>
  <c r="C21" i="4" s="1"/>
  <c r="C22" i="4" s="1"/>
  <c r="C23" i="4" s="1"/>
  <c r="C24" i="4" s="1"/>
  <c r="C25" i="4" s="1"/>
  <c r="C26" i="4" s="1"/>
  <c r="C27" i="4" s="1"/>
  <c r="C28" i="4" s="1"/>
  <c r="C29" i="4" s="1"/>
  <c r="D11" i="4"/>
  <c r="D12" i="4" s="1"/>
  <c r="D13" i="4" s="1"/>
  <c r="D14" i="4" s="1"/>
  <c r="D15" i="4" s="1"/>
  <c r="B30" i="4"/>
  <c r="E52" i="4" s="1"/>
  <c r="D16" i="4" l="1"/>
  <c r="D17" i="4" s="1"/>
  <c r="D18" i="4" s="1"/>
  <c r="D19" i="4" s="1"/>
  <c r="D20" i="4" s="1"/>
  <c r="D21" i="4" s="1"/>
  <c r="D22" i="4" s="1"/>
  <c r="D23" i="4" s="1"/>
  <c r="D24" i="4" s="1"/>
  <c r="D25" i="4" s="1"/>
  <c r="D26" i="4" s="1"/>
  <c r="D27" i="4" s="1"/>
  <c r="D28" i="4" s="1"/>
  <c r="D29" i="4" s="1"/>
  <c r="C30" i="4"/>
  <c r="G52" i="4" s="1"/>
  <c r="D32" i="4" l="1"/>
  <c r="D30" i="4"/>
  <c r="F52" i="4" s="1"/>
  <c r="E6" i="3" l="1"/>
  <c r="D58" i="2"/>
  <c r="E35" i="3"/>
  <c r="E36" i="3"/>
  <c r="H35" i="3"/>
  <c r="I35" i="3"/>
  <c r="H36" i="3"/>
  <c r="I36" i="3"/>
  <c r="E48" i="3"/>
  <c r="F48" i="3"/>
  <c r="E49" i="3"/>
  <c r="F49" i="3"/>
  <c r="E25" i="3"/>
  <c r="E24" i="3"/>
  <c r="F14" i="3"/>
  <c r="G14" i="3"/>
  <c r="H14" i="3"/>
  <c r="I14" i="3"/>
  <c r="E14" i="3"/>
  <c r="F35" i="3"/>
  <c r="G35" i="3"/>
  <c r="F36" i="3"/>
  <c r="G36" i="3"/>
  <c r="F15" i="3"/>
  <c r="G15" i="3"/>
  <c r="H15" i="3"/>
  <c r="I15" i="3"/>
  <c r="E15" i="3"/>
  <c r="I12" i="10" l="1"/>
  <c r="D56" i="2"/>
  <c r="E32" i="2"/>
  <c r="E34" i="2" s="1"/>
  <c r="E58" i="2"/>
  <c r="D36" i="2"/>
  <c r="F32" i="2"/>
  <c r="F34" i="2" s="1"/>
  <c r="C32" i="2"/>
  <c r="D57" i="2"/>
  <c r="C58" i="2"/>
  <c r="F57" i="2"/>
  <c r="C55" i="2"/>
  <c r="C28" i="2" s="1"/>
  <c r="C29" i="2" s="1"/>
  <c r="F33" i="2"/>
  <c r="E33" i="2"/>
  <c r="D32" i="2"/>
  <c r="D33" i="2"/>
  <c r="C33" i="2"/>
  <c r="E13" i="10" l="1"/>
  <c r="E92" i="10" s="1"/>
  <c r="G12" i="10"/>
  <c r="K12" i="10"/>
  <c r="F56" i="2"/>
  <c r="F59" i="2"/>
  <c r="F31" i="2" s="1"/>
  <c r="P10" i="4" s="1"/>
  <c r="F55" i="2"/>
  <c r="F28" i="2" s="1"/>
  <c r="F29" i="2" s="1"/>
  <c r="D37" i="2"/>
  <c r="D59" i="2"/>
  <c r="D31" i="2" s="1"/>
  <c r="D55" i="2"/>
  <c r="D28" i="2" s="1"/>
  <c r="D29" i="2" s="1"/>
  <c r="E56" i="2"/>
  <c r="E55" i="2"/>
  <c r="E28" i="2" s="1"/>
  <c r="E29" i="2" s="1"/>
  <c r="E59" i="2"/>
  <c r="E31" i="2" s="1"/>
  <c r="M10" i="4" s="1"/>
  <c r="C56" i="2"/>
  <c r="E57" i="2"/>
  <c r="E37" i="2" s="1"/>
  <c r="D34" i="2"/>
  <c r="C36" i="2"/>
  <c r="C34" i="2"/>
  <c r="C59" i="2"/>
  <c r="C31" i="2" s="1"/>
  <c r="G10" i="4" s="1"/>
  <c r="C57" i="2"/>
  <c r="C37" i="2" s="1"/>
  <c r="E36" i="2"/>
  <c r="E116" i="10" l="1"/>
  <c r="E117" i="10"/>
  <c r="E115" i="10"/>
  <c r="E114" i="10"/>
  <c r="F30" i="10" s="1"/>
  <c r="F34" i="10" s="1"/>
  <c r="G14" i="10"/>
  <c r="G15" i="10" s="1"/>
  <c r="G93" i="10" s="1"/>
  <c r="I14" i="10"/>
  <c r="I15" i="10" s="1"/>
  <c r="I93" i="10" s="1"/>
  <c r="K14" i="10"/>
  <c r="K15" i="10" s="1"/>
  <c r="K93" i="10" s="1"/>
  <c r="P11" i="4"/>
  <c r="P12" i="4" s="1"/>
  <c r="P13" i="4" s="1"/>
  <c r="P14" i="4" s="1"/>
  <c r="P15" i="4" s="1"/>
  <c r="P16" i="4" s="1"/>
  <c r="P17" i="4" s="1"/>
  <c r="P18" i="4" s="1"/>
  <c r="P19" i="4" s="1"/>
  <c r="P20" i="4" s="1"/>
  <c r="P21" i="4" s="1"/>
  <c r="P22" i="4" s="1"/>
  <c r="P23" i="4" s="1"/>
  <c r="P24" i="4" s="1"/>
  <c r="P25" i="4" s="1"/>
  <c r="P26" i="4" s="1"/>
  <c r="P27" i="4" s="1"/>
  <c r="P28" i="4" s="1"/>
  <c r="P29" i="4" s="1"/>
  <c r="D38" i="2"/>
  <c r="I10" i="4" s="1"/>
  <c r="I11" i="4" s="1"/>
  <c r="I12" i="4" s="1"/>
  <c r="I13" i="4" s="1"/>
  <c r="I14" i="4" s="1"/>
  <c r="I15" i="4" s="1"/>
  <c r="I16" i="4" s="1"/>
  <c r="I17" i="4" s="1"/>
  <c r="I18" i="4" s="1"/>
  <c r="I19" i="4" s="1"/>
  <c r="I20" i="4" s="1"/>
  <c r="I21" i="4" s="1"/>
  <c r="I22" i="4" s="1"/>
  <c r="I23" i="4" s="1"/>
  <c r="I24" i="4" s="1"/>
  <c r="I25" i="4" s="1"/>
  <c r="I26" i="4" s="1"/>
  <c r="I27" i="4" s="1"/>
  <c r="I28" i="4" s="1"/>
  <c r="I29" i="4" s="1"/>
  <c r="E38" i="2"/>
  <c r="E41" i="2" s="1"/>
  <c r="C38" i="2"/>
  <c r="C41" i="2" s="1"/>
  <c r="F30" i="2"/>
  <c r="D40" i="2"/>
  <c r="J10" i="4"/>
  <c r="G11" i="4"/>
  <c r="G12" i="4" s="1"/>
  <c r="G13" i="4" s="1"/>
  <c r="G14" i="4" s="1"/>
  <c r="G15" i="4" s="1"/>
  <c r="G16" i="4" s="1"/>
  <c r="G17" i="4" s="1"/>
  <c r="G18" i="4" s="1"/>
  <c r="G19" i="4" s="1"/>
  <c r="G20" i="4" s="1"/>
  <c r="G21" i="4" s="1"/>
  <c r="G22" i="4" s="1"/>
  <c r="G23" i="4" s="1"/>
  <c r="G24" i="4" s="1"/>
  <c r="G25" i="4" s="1"/>
  <c r="G26" i="4" s="1"/>
  <c r="G27" i="4" s="1"/>
  <c r="G28" i="4" s="1"/>
  <c r="G29" i="4" s="1"/>
  <c r="M11" i="4"/>
  <c r="M12" i="4" s="1"/>
  <c r="M13" i="4" s="1"/>
  <c r="M14" i="4" s="1"/>
  <c r="M15" i="4" s="1"/>
  <c r="M16" i="4" s="1"/>
  <c r="M17" i="4" s="1"/>
  <c r="M18" i="4" s="1"/>
  <c r="M19" i="4" s="1"/>
  <c r="M20" i="4" s="1"/>
  <c r="M21" i="4" s="1"/>
  <c r="M22" i="4" s="1"/>
  <c r="M23" i="4" s="1"/>
  <c r="M24" i="4" s="1"/>
  <c r="M25" i="4" s="1"/>
  <c r="M26" i="4" s="1"/>
  <c r="M27" i="4" s="1"/>
  <c r="M28" i="4" s="1"/>
  <c r="M29" i="4" s="1"/>
  <c r="D30" i="2"/>
  <c r="E30" i="2"/>
  <c r="E40" i="2"/>
  <c r="C40" i="2"/>
  <c r="E130" i="10" l="1"/>
  <c r="F36" i="10"/>
  <c r="E132" i="10"/>
  <c r="F48" i="10"/>
  <c r="E131" i="10"/>
  <c r="F42" i="10"/>
  <c r="K118" i="10"/>
  <c r="K119" i="10"/>
  <c r="K120" i="10"/>
  <c r="K121" i="10"/>
  <c r="K31" i="10"/>
  <c r="K34" i="10" s="1"/>
  <c r="G31" i="10"/>
  <c r="G34" i="10" s="1"/>
  <c r="G120" i="10"/>
  <c r="G121" i="10"/>
  <c r="G118" i="10"/>
  <c r="G119" i="10"/>
  <c r="I118" i="10"/>
  <c r="I119" i="10"/>
  <c r="I120" i="10"/>
  <c r="I121" i="10"/>
  <c r="I31" i="10"/>
  <c r="I34" i="10" s="1"/>
  <c r="F45" i="2"/>
  <c r="N9" i="4"/>
  <c r="D56" i="4" s="1"/>
  <c r="K9" i="4"/>
  <c r="E45" i="2"/>
  <c r="H9" i="4"/>
  <c r="D45" i="2"/>
  <c r="P30" i="4"/>
  <c r="D41" i="2"/>
  <c r="D42" i="2" s="1"/>
  <c r="D87" i="3" s="1"/>
  <c r="F10" i="4"/>
  <c r="F11" i="4" s="1"/>
  <c r="F12" i="4" s="1"/>
  <c r="F13" i="4" s="1"/>
  <c r="F14" i="4" s="1"/>
  <c r="F15" i="4" s="1"/>
  <c r="F16" i="4" s="1"/>
  <c r="F17" i="4" s="1"/>
  <c r="F18" i="4" s="1"/>
  <c r="F19" i="4" s="1"/>
  <c r="F20" i="4" s="1"/>
  <c r="F21" i="4" s="1"/>
  <c r="F22" i="4" s="1"/>
  <c r="F23" i="4" s="1"/>
  <c r="F24" i="4" s="1"/>
  <c r="F25" i="4" s="1"/>
  <c r="F26" i="4" s="1"/>
  <c r="F27" i="4" s="1"/>
  <c r="F28" i="4" s="1"/>
  <c r="F29" i="4" s="1"/>
  <c r="E42" i="2"/>
  <c r="E87" i="3" s="1"/>
  <c r="L10" i="4"/>
  <c r="L11" i="4" s="1"/>
  <c r="L12" i="4" s="1"/>
  <c r="L13" i="4" s="1"/>
  <c r="L14" i="4" s="1"/>
  <c r="L15" i="4" s="1"/>
  <c r="L16" i="4" s="1"/>
  <c r="L17" i="4" s="1"/>
  <c r="L18" i="4" s="1"/>
  <c r="L19" i="4" s="1"/>
  <c r="L20" i="4" s="1"/>
  <c r="L21" i="4" s="1"/>
  <c r="L22" i="4" s="1"/>
  <c r="L23" i="4" s="1"/>
  <c r="L24" i="4" s="1"/>
  <c r="L25" i="4" s="1"/>
  <c r="L26" i="4" s="1"/>
  <c r="L27" i="4" s="1"/>
  <c r="L28" i="4" s="1"/>
  <c r="L29" i="4" s="1"/>
  <c r="F37" i="2"/>
  <c r="F36" i="2"/>
  <c r="J11" i="4"/>
  <c r="J12" i="4" s="1"/>
  <c r="J13" i="4" s="1"/>
  <c r="J14" i="4" s="1"/>
  <c r="J15" i="4" s="1"/>
  <c r="J16" i="4" s="1"/>
  <c r="J17" i="4" s="1"/>
  <c r="J18" i="4" s="1"/>
  <c r="J19" i="4" s="1"/>
  <c r="J20" i="4" s="1"/>
  <c r="J21" i="4" s="1"/>
  <c r="J22" i="4" s="1"/>
  <c r="J23" i="4" s="1"/>
  <c r="J24" i="4" s="1"/>
  <c r="J25" i="4" s="1"/>
  <c r="J26" i="4" s="1"/>
  <c r="J27" i="4" s="1"/>
  <c r="J28" i="4" s="1"/>
  <c r="J29" i="4" s="1"/>
  <c r="M30" i="4"/>
  <c r="I30" i="4"/>
  <c r="G30" i="4"/>
  <c r="D86" i="3"/>
  <c r="E86" i="3"/>
  <c r="F86" i="3"/>
  <c r="C42" i="2"/>
  <c r="F52" i="10" l="1"/>
  <c r="E135" i="10"/>
  <c r="O135" i="10"/>
  <c r="O58" i="10" s="1"/>
  <c r="Q135" i="10"/>
  <c r="Q58" i="10" s="1"/>
  <c r="Q134" i="10"/>
  <c r="Q56" i="10" s="1"/>
  <c r="E134" i="10"/>
  <c r="O134" i="10"/>
  <c r="O56" i="10" s="1"/>
  <c r="F46" i="10"/>
  <c r="O133" i="10"/>
  <c r="Q133" i="10"/>
  <c r="F40" i="10"/>
  <c r="E133" i="10"/>
  <c r="E136" i="10" s="1"/>
  <c r="I49" i="10"/>
  <c r="I132" i="10"/>
  <c r="G37" i="10"/>
  <c r="G130" i="10"/>
  <c r="K49" i="10"/>
  <c r="K132" i="10"/>
  <c r="M14" i="10"/>
  <c r="M15" i="10" s="1"/>
  <c r="M93" i="10" s="1"/>
  <c r="I43" i="10"/>
  <c r="I131" i="10"/>
  <c r="K43" i="10"/>
  <c r="K131" i="10"/>
  <c r="I37" i="10"/>
  <c r="I130" i="10"/>
  <c r="G49" i="10"/>
  <c r="G132" i="10"/>
  <c r="K37" i="10"/>
  <c r="K130" i="10"/>
  <c r="G43" i="10"/>
  <c r="G131" i="10"/>
  <c r="H30" i="4"/>
  <c r="E54" i="4" s="1"/>
  <c r="D54" i="4"/>
  <c r="G54" i="4"/>
  <c r="K30" i="4"/>
  <c r="E55" i="4" s="1"/>
  <c r="D55" i="4"/>
  <c r="F55" i="4"/>
  <c r="N30" i="4"/>
  <c r="E56" i="4" s="1"/>
  <c r="F56" i="4"/>
  <c r="E88" i="3"/>
  <c r="E97" i="3"/>
  <c r="E98" i="3"/>
  <c r="E99" i="3"/>
  <c r="E100" i="3"/>
  <c r="E101" i="3"/>
  <c r="E102" i="3"/>
  <c r="E103" i="3"/>
  <c r="E104" i="3"/>
  <c r="E105" i="3"/>
  <c r="E106" i="3"/>
  <c r="D93" i="3"/>
  <c r="D97" i="3"/>
  <c r="D98" i="3"/>
  <c r="D99" i="3"/>
  <c r="D100" i="3"/>
  <c r="D101" i="3"/>
  <c r="D102" i="3"/>
  <c r="D103" i="3"/>
  <c r="D104" i="3"/>
  <c r="D105" i="3"/>
  <c r="D106" i="3"/>
  <c r="E95" i="3"/>
  <c r="E90" i="3"/>
  <c r="F40" i="2"/>
  <c r="E92" i="3"/>
  <c r="M32" i="4"/>
  <c r="E89" i="3"/>
  <c r="E96" i="3"/>
  <c r="L30" i="4"/>
  <c r="G55" i="4" s="1"/>
  <c r="D91" i="3"/>
  <c r="E93" i="3"/>
  <c r="E94" i="3"/>
  <c r="E24" i="2"/>
  <c r="E44" i="2"/>
  <c r="E46" i="2" s="1"/>
  <c r="E91" i="3"/>
  <c r="D96" i="3"/>
  <c r="D92" i="3"/>
  <c r="D44" i="2"/>
  <c r="D46" i="2" s="1"/>
  <c r="D95" i="3"/>
  <c r="D89" i="3"/>
  <c r="D24" i="2"/>
  <c r="D94" i="3"/>
  <c r="D88" i="3"/>
  <c r="D90" i="3"/>
  <c r="F38" i="2"/>
  <c r="F41" i="2" s="1"/>
  <c r="J32" i="4"/>
  <c r="J30" i="4"/>
  <c r="F54" i="4" s="1"/>
  <c r="F30" i="4"/>
  <c r="C87" i="3"/>
  <c r="C44" i="2"/>
  <c r="Q59" i="10" l="1"/>
  <c r="O59" i="10"/>
  <c r="E138" i="10"/>
  <c r="E137" i="10"/>
  <c r="O57" i="10"/>
  <c r="Q136" i="10"/>
  <c r="Q54" i="10"/>
  <c r="Q55" i="10" s="1"/>
  <c r="O136" i="10"/>
  <c r="O54" i="10"/>
  <c r="O55" i="10" s="1"/>
  <c r="Q57" i="10"/>
  <c r="G46" i="10"/>
  <c r="G134" i="10"/>
  <c r="G56" i="10" s="1"/>
  <c r="G57" i="10" s="1"/>
  <c r="G135" i="10"/>
  <c r="G58" i="10" s="1"/>
  <c r="G59" i="10" s="1"/>
  <c r="G52" i="10"/>
  <c r="K46" i="10"/>
  <c r="K134" i="10"/>
  <c r="K56" i="10" s="1"/>
  <c r="K57" i="10" s="1"/>
  <c r="M118" i="10"/>
  <c r="M119" i="10"/>
  <c r="M31" i="10"/>
  <c r="M34" i="10" s="1"/>
  <c r="M120" i="10"/>
  <c r="M121" i="10"/>
  <c r="G40" i="10"/>
  <c r="G133" i="10"/>
  <c r="K40" i="10"/>
  <c r="K133" i="10"/>
  <c r="I40" i="10"/>
  <c r="I133" i="10"/>
  <c r="I46" i="10"/>
  <c r="I134" i="10"/>
  <c r="I56" i="10" s="1"/>
  <c r="I57" i="10" s="1"/>
  <c r="K52" i="10"/>
  <c r="K135" i="10"/>
  <c r="K58" i="10" s="1"/>
  <c r="K59" i="10" s="1"/>
  <c r="I52" i="10"/>
  <c r="I135" i="10"/>
  <c r="I58" i="10" s="1"/>
  <c r="I59" i="10" s="1"/>
  <c r="D47" i="2"/>
  <c r="E47" i="2"/>
  <c r="C93" i="3"/>
  <c r="C97" i="3"/>
  <c r="C98" i="3"/>
  <c r="C99" i="3"/>
  <c r="C100" i="3"/>
  <c r="C101" i="3"/>
  <c r="C102" i="3"/>
  <c r="C103" i="3"/>
  <c r="C104" i="3"/>
  <c r="C105" i="3"/>
  <c r="C106" i="3"/>
  <c r="F42" i="2"/>
  <c r="F24" i="2" s="1"/>
  <c r="O10" i="4"/>
  <c r="C90" i="3"/>
  <c r="C96" i="3"/>
  <c r="C91" i="3"/>
  <c r="C88" i="3"/>
  <c r="C95" i="3"/>
  <c r="C94" i="3"/>
  <c r="C89" i="3"/>
  <c r="C92" i="3"/>
  <c r="Q138" i="10" l="1"/>
  <c r="Q62" i="10" s="1"/>
  <c r="Q137" i="10"/>
  <c r="Q61" i="10" s="1"/>
  <c r="O137" i="10"/>
  <c r="O61" i="10" s="1"/>
  <c r="O138" i="10"/>
  <c r="O62" i="10" s="1"/>
  <c r="K136" i="10"/>
  <c r="K54" i="10"/>
  <c r="M37" i="10"/>
  <c r="M130" i="10"/>
  <c r="I54" i="10"/>
  <c r="I136" i="10"/>
  <c r="M43" i="10"/>
  <c r="M131" i="10"/>
  <c r="M49" i="10"/>
  <c r="M132" i="10"/>
  <c r="G54" i="10"/>
  <c r="G136" i="10"/>
  <c r="F87" i="3"/>
  <c r="F44" i="2"/>
  <c r="F46" i="2" s="1"/>
  <c r="O11" i="4"/>
  <c r="O12" i="4" s="1"/>
  <c r="O13" i="4" s="1"/>
  <c r="O14" i="4" s="1"/>
  <c r="O15" i="4" s="1"/>
  <c r="O16" i="4" s="1"/>
  <c r="O17" i="4" s="1"/>
  <c r="O18" i="4" s="1"/>
  <c r="O19" i="4" s="1"/>
  <c r="O20" i="4" s="1"/>
  <c r="O21" i="4" s="1"/>
  <c r="O22" i="4" s="1"/>
  <c r="O23" i="4" s="1"/>
  <c r="O24" i="4" s="1"/>
  <c r="O25" i="4" s="1"/>
  <c r="O26" i="4" s="1"/>
  <c r="O27" i="4" s="1"/>
  <c r="O28" i="4" s="1"/>
  <c r="O29" i="4" s="1"/>
  <c r="K55" i="10" l="1"/>
  <c r="E49" i="2"/>
  <c r="I55" i="10"/>
  <c r="D49" i="2"/>
  <c r="G55" i="10"/>
  <c r="C49" i="2"/>
  <c r="K137" i="10"/>
  <c r="K61" i="10" s="1"/>
  <c r="E50" i="2" s="1"/>
  <c r="K138" i="10"/>
  <c r="K62" i="10" s="1"/>
  <c r="E51" i="2" s="1"/>
  <c r="G138" i="10"/>
  <c r="G62" i="10" s="1"/>
  <c r="C51" i="2" s="1"/>
  <c r="G137" i="10"/>
  <c r="G61" i="10" s="1"/>
  <c r="C50" i="2" s="1"/>
  <c r="M46" i="10"/>
  <c r="M134" i="10"/>
  <c r="M56" i="10" s="1"/>
  <c r="M57" i="10" s="1"/>
  <c r="M133" i="10"/>
  <c r="M40" i="10"/>
  <c r="M135" i="10"/>
  <c r="M58" i="10" s="1"/>
  <c r="M59" i="10" s="1"/>
  <c r="M52" i="10"/>
  <c r="I137" i="10"/>
  <c r="I61" i="10" s="1"/>
  <c r="D50" i="2" s="1"/>
  <c r="I138" i="10"/>
  <c r="I62" i="10" s="1"/>
  <c r="D51" i="2" s="1"/>
  <c r="F88" i="3"/>
  <c r="F97" i="3"/>
  <c r="F98" i="3"/>
  <c r="F99" i="3"/>
  <c r="F100" i="3"/>
  <c r="F101" i="3"/>
  <c r="F102" i="3"/>
  <c r="F103" i="3"/>
  <c r="F104" i="3"/>
  <c r="F105" i="3"/>
  <c r="F106" i="3"/>
  <c r="F92" i="3"/>
  <c r="F91" i="3"/>
  <c r="F95" i="3"/>
  <c r="F89" i="3"/>
  <c r="F96" i="3"/>
  <c r="F93" i="3"/>
  <c r="F94" i="3"/>
  <c r="F90" i="3"/>
  <c r="P32" i="4"/>
  <c r="O30" i="4"/>
  <c r="G56" i="4" s="1"/>
  <c r="M54" i="10" l="1"/>
  <c r="M136" i="10"/>
  <c r="F47" i="2"/>
  <c r="M55" i="10" l="1"/>
  <c r="F49" i="2"/>
  <c r="M138" i="10"/>
  <c r="M62" i="10" s="1"/>
  <c r="F51" i="2" s="1"/>
  <c r="M137" i="10"/>
  <c r="M61" i="10" s="1"/>
  <c r="F50" i="2" s="1"/>
  <c r="C30" i="2"/>
  <c r="C45" i="2" s="1"/>
  <c r="C46" i="2" s="1"/>
  <c r="E9" i="4" l="1"/>
  <c r="C24" i="2"/>
  <c r="C86" i="3"/>
  <c r="C47" i="2" s="1"/>
  <c r="D53" i="4" l="1"/>
  <c r="G53" i="4"/>
  <c r="F53" i="4"/>
  <c r="G32" i="4"/>
  <c r="E30" i="4"/>
  <c r="E53" i="4" s="1"/>
</calcChain>
</file>

<file path=xl/sharedStrings.xml><?xml version="1.0" encoding="utf-8"?>
<sst xmlns="http://schemas.openxmlformats.org/spreadsheetml/2006/main" count="1564" uniqueCount="701">
  <si>
    <t>Simple Payback (Years)</t>
  </si>
  <si>
    <t>Reciprocating Engine</t>
  </si>
  <si>
    <t>Assumptions</t>
  </si>
  <si>
    <t>Micro Turbine</t>
  </si>
  <si>
    <t>Gas Turbine</t>
  </si>
  <si>
    <t>Fuel Cell</t>
  </si>
  <si>
    <t>Avg. Heat Recovery from Prime Mover</t>
  </si>
  <si>
    <t>CHP Size (KW)</t>
  </si>
  <si>
    <t xml:space="preserve">Installed Cost </t>
  </si>
  <si>
    <t>LHV Natural Gas BTU/SCF</t>
  </si>
  <si>
    <t>HHV Natural Gas BTU/SCF</t>
  </si>
  <si>
    <t>Annual Electric Savings on Usage</t>
  </si>
  <si>
    <t>Annual Gas Cost for Cogeneration</t>
  </si>
  <si>
    <t>Total Savings per year from CHP System</t>
  </si>
  <si>
    <t>Electricity Capacity (kW)</t>
  </si>
  <si>
    <t>Electrical Efficiency (%), HHV</t>
  </si>
  <si>
    <t>Fuel Input (MMBtu/hr)</t>
  </si>
  <si>
    <t>Total Installed Cost ($/kW)</t>
  </si>
  <si>
    <t>Nominal Electricity Capacity (kW)</t>
  </si>
  <si>
    <t>Fuel Cells</t>
  </si>
  <si>
    <t>Fuel Cell Type</t>
  </si>
  <si>
    <t>PAFC</t>
  </si>
  <si>
    <t>PEM</t>
  </si>
  <si>
    <t>Total CHP Efficiency (%), HHV</t>
  </si>
  <si>
    <t>Total Efficiency (%)</t>
  </si>
  <si>
    <t xml:space="preserve">Avg. Heat Recovery </t>
  </si>
  <si>
    <t>Total O&amp;M Costs, $/kWh</t>
  </si>
  <si>
    <t>Gas Input (MMBTU/Hr)</t>
  </si>
  <si>
    <t>O&amp;M Cost ($/KWH)</t>
  </si>
  <si>
    <t>Recovered Heat (MMBTU/Year)</t>
  </si>
  <si>
    <t>Costs from EPA Catalog of CHP Technologies</t>
  </si>
  <si>
    <t>Electrical Efficiency (% HHV)</t>
  </si>
  <si>
    <t>O&amp;M Costs ($/kW)</t>
  </si>
  <si>
    <t>Average Installed cost  ($/KW)</t>
  </si>
  <si>
    <t>Power Produced (KWH)</t>
  </si>
  <si>
    <t>Monthly Payment on CHP Plant</t>
  </si>
  <si>
    <t>Average Monthly Savings</t>
  </si>
  <si>
    <t>O&amp;M Cost range from catalog</t>
  </si>
  <si>
    <t>.015-.025</t>
  </si>
  <si>
    <t>.013-.022</t>
  </si>
  <si>
    <t>.012-.02</t>
  </si>
  <si>
    <t>Typical Size Range</t>
  </si>
  <si>
    <t>Basic Tot Installed Cost ($/kW)</t>
  </si>
  <si>
    <t xml:space="preserve">Fuel Cell </t>
  </si>
  <si>
    <t>Combined Heat &amp; Power (CHP) Simple Payback Analysis</t>
  </si>
  <si>
    <t>Notes</t>
  </si>
  <si>
    <t>Annual O&amp;M cost CHP Plant</t>
  </si>
  <si>
    <t>Annual Electric Saved on Demand</t>
  </si>
  <si>
    <t>Annual Gas savings from waste heat use</t>
  </si>
  <si>
    <t>MMBTU/Hr/KW</t>
  </si>
  <si>
    <t>Monthly cash flow</t>
  </si>
  <si>
    <t>Electric and gas utility savings from CHP</t>
  </si>
  <si>
    <t>Ave. Annual Maintenance Cost</t>
  </si>
  <si>
    <t>Natural Gas CO2 (#/MMBTU)</t>
  </si>
  <si>
    <t>Can package multiple Micro turbines to reach 2 MW</t>
  </si>
  <si>
    <t>10 year cash flow</t>
  </si>
  <si>
    <t>Year</t>
  </si>
  <si>
    <t>State Historical Tables for 2010 - Sort by Energy Source     Released: December 2011    Next Update: November 2012</t>
  </si>
  <si>
    <t>Size starts at 1000KW</t>
  </si>
  <si>
    <t>Alberta</t>
  </si>
  <si>
    <t>British Columbia</t>
  </si>
  <si>
    <t>Manitoba</t>
  </si>
  <si>
    <t>New Brunswick</t>
  </si>
  <si>
    <t>Newfoundland</t>
  </si>
  <si>
    <t>Nova Scotia</t>
  </si>
  <si>
    <t>Ontario</t>
  </si>
  <si>
    <t>Prince Edward Island</t>
  </si>
  <si>
    <t>Quebec</t>
  </si>
  <si>
    <t>Saskatchewan</t>
  </si>
  <si>
    <t>Alaska</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</si>
  <si>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</si>
  <si>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</si>
  <si>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</si>
  <si>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</si>
  <si>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</si>
  <si>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</si>
  <si>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</si>
  <si>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</si>
  <si>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</si>
  <si>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</si>
  <si>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</si>
  <si>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</si>
  <si>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</si>
  <si>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</si>
  <si>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</si>
  <si>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</si>
  <si>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</si>
  <si>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</si>
  <si>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</si>
  <si>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</si>
  <si>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</si>
  <si>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</si>
  <si>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</si>
  <si>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</si>
  <si>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</si>
  <si>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</si>
  <si>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</si>
  <si>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</si>
  <si>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</si>
  <si>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</si>
  <si>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</si>
  <si>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</si>
  <si>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</si>
  <si>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</si>
  <si>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</si>
  <si>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</si>
  <si>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</si>
  <si>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</si>
  <si>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</si>
  <si>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</si>
  <si>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</si>
  <si>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</si>
  <si>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</si>
  <si>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</si>
  <si>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</si>
  <si>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</si>
  <si>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</si>
  <si>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</si>
  <si>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US Average</t>
  </si>
  <si>
    <t>Drop down list</t>
  </si>
  <si>
    <t>Electric Utility CO2 emmisions (#/KWH)</t>
  </si>
  <si>
    <t>Delaware</t>
  </si>
  <si>
    <t xml:space="preserve">Note that 5457 KW CT column is used for 3500 KW to 10,238 KW. </t>
  </si>
  <si>
    <t>Effective Electrical Efficiency = (CHP electric power output)/(Total fuel into CHP system – total heat recovered/0.8); Equivalent to 3412 Btu/kWh/Net Heat Rate</t>
  </si>
  <si>
    <t>Electrical efficiencies are net of parasitic and conversion losses. Fuel gas compressor needs based on 1 psi inlet supply.</t>
  </si>
  <si>
    <t>Electrical efficiencies are net of parasitic and conversion losses.</t>
  </si>
  <si>
    <t>Total Average CHP System Efficiency</t>
  </si>
  <si>
    <t>Total CHP Efficiency = (net electric generated + net thermal energy recovered)/total engine fuel input</t>
  </si>
  <si>
    <t>Tax Cedits:</t>
  </si>
  <si>
    <t>www.epa.gov/chp/policies/database.html</t>
  </si>
  <si>
    <t>CHP</t>
  </si>
  <si>
    <t>Business Energy Investment Tax Credit (ITC)</t>
  </si>
  <si>
    <t>Cap at $200/KW</t>
  </si>
  <si>
    <t>Cap at $1500 per &gt;5KW</t>
  </si>
  <si>
    <t>Maxium years payback for Out of Range assumption</t>
  </si>
  <si>
    <t>Baseload Electric Capacity (kW) *</t>
  </si>
  <si>
    <t>Total Installed Cost ($/kW) *</t>
  </si>
  <si>
    <t>Energy Cost</t>
  </si>
  <si>
    <t>Maintenance Cost</t>
  </si>
  <si>
    <t>Capital Cost</t>
  </si>
  <si>
    <t>Life Cycle Cost =</t>
  </si>
  <si>
    <t>Maint. Cost</t>
  </si>
  <si>
    <t>Installed cost</t>
  </si>
  <si>
    <t>Assume no loan on installed cost.  All capital and installation costs paid in year 0.</t>
  </si>
  <si>
    <t>/yr</t>
  </si>
  <si>
    <t>Maint. Inflation rate</t>
  </si>
  <si>
    <t>Fuel Inflation Rate</t>
  </si>
  <si>
    <t>Assumptions:</t>
  </si>
  <si>
    <t>Life Cycle Cost Analysis - CHP</t>
  </si>
  <si>
    <t>Grid Power</t>
  </si>
  <si>
    <t>http://www.epa.gov/chp/chp-technologies</t>
  </si>
  <si>
    <t>http://www.epa.gov/chp/catalog-chp-technologies</t>
  </si>
  <si>
    <t>2008 Handbook data</t>
  </si>
  <si>
    <t>Gas Turbine Performance Parameters (March 2015 Catalog)</t>
  </si>
  <si>
    <t>Installed Cost (2013 $/kW)</t>
  </si>
  <si>
    <t>Tab 3.2</t>
  </si>
  <si>
    <t>Tab 3.6</t>
  </si>
  <si>
    <t>Tab. 5-2</t>
  </si>
  <si>
    <t>Net Electricity Capacity (kW)</t>
  </si>
  <si>
    <t>Gas Turbine Performance Parameters 2008</t>
  </si>
  <si>
    <t>Micro Turbines 2008</t>
  </si>
  <si>
    <t>Notes 2008 to 2015 Guide Data</t>
  </si>
  <si>
    <t>CT Installed costs rose about 25%, Electrical and heat efficicincies fluctuated +/1 1% across board, and O&amp;M rose slightly</t>
  </si>
  <si>
    <t>Microturbines added 3 more model sizes.  Net electrical capacity takes into account parasitic loads for the compressor.</t>
  </si>
  <si>
    <t>Not using ranges in 2015</t>
  </si>
  <si>
    <t>Tab. 5-5</t>
  </si>
  <si>
    <t>30KW-2000KW</t>
  </si>
  <si>
    <t>1MW - 50MW</t>
  </si>
  <si>
    <t>Gas Engine 2008</t>
  </si>
  <si>
    <t>Micro Turbines (March 2015 Catalog)</t>
  </si>
  <si>
    <t>Gas Engine (March 2015 Catalog)</t>
  </si>
  <si>
    <t>Tab. 2-2</t>
  </si>
  <si>
    <t>Tab 2-6</t>
  </si>
  <si>
    <t>100KW O&amp;M was a range that was averaged</t>
  </si>
  <si>
    <t>65KW-15MW</t>
  </si>
  <si>
    <t>PEMFC</t>
  </si>
  <si>
    <t>Tab. 6-3</t>
  </si>
  <si>
    <t>SOFC</t>
  </si>
  <si>
    <t>MCFC</t>
  </si>
  <si>
    <t>Tab. 6-4</t>
  </si>
  <si>
    <t>Total package Cost ($/kW)</t>
  </si>
  <si>
    <t>Fuel Cells (March 2015 Catalog)</t>
  </si>
  <si>
    <r>
      <rPr>
        <b/>
        <sz val="10"/>
        <rFont val="Arial"/>
        <family val="2"/>
      </rPr>
      <t xml:space="preserve">Source of data above : </t>
    </r>
    <r>
      <rPr>
        <sz val="10"/>
        <rFont val="Arial"/>
        <family val="2"/>
      </rPr>
      <t>U.S. EPA, Technolgy Catalogs March 2015</t>
    </r>
  </si>
  <si>
    <t>A few new sizes and types of fuel cels were added to the mix.  The cost of 1 1400 KW system is 25% less per KW than previos systems.</t>
  </si>
  <si>
    <t>No O&amp;M for 30KW model so use highest O&amp;M used in analysis</t>
  </si>
  <si>
    <t>200 - 2000 KW</t>
  </si>
  <si>
    <t>Engine prices went up for larger engines, didn’t change much for smaller engines</t>
  </si>
  <si>
    <t>Overall: Some paybacks increased while others decreased. And the range of sizes included in the tool is broader than in the previous tool.</t>
  </si>
  <si>
    <t>Less than a 65KW Engine is considered Micro-CHP</t>
  </si>
  <si>
    <t>MCFC &amp; PAFC</t>
  </si>
  <si>
    <t>Assumptions to show on website:</t>
  </si>
  <si>
    <t>$1,250 - $3,300</t>
  </si>
  <si>
    <t>$2,500 - $4,300</t>
  </si>
  <si>
    <t>$1,433 - $2,900</t>
  </si>
  <si>
    <t>$4,600 - $10,000</t>
  </si>
  <si>
    <t xml:space="preserve">Commercial Carbon Calculator </t>
  </si>
  <si>
    <t>Developed by:</t>
  </si>
  <si>
    <t>Canada Data</t>
  </si>
  <si>
    <t>Emissions Summary</t>
  </si>
  <si>
    <t>Other Data</t>
  </si>
  <si>
    <t>Lists</t>
  </si>
  <si>
    <t>Canadian Average All Sources 2011</t>
  </si>
  <si>
    <t>NOX Emission Factors, EPA AP-42 Section 1.4 Natural Gas Combustion, Table 3.4-1</t>
  </si>
  <si>
    <t>Unit Conversions</t>
  </si>
  <si>
    <t>Consumption</t>
  </si>
  <si>
    <t>Emissions Profile</t>
  </si>
  <si>
    <t>State abbreviation</t>
  </si>
  <si>
    <t>State nameplate capacity (MW)</t>
  </si>
  <si>
    <t>State annual heat input (MMBtu)</t>
  </si>
  <si>
    <t>State annual net generation (MWh)</t>
  </si>
  <si>
    <t>State annual NOx emissions (tons)</t>
  </si>
  <si>
    <t>State annual SO2 emissions (tons)</t>
  </si>
  <si>
    <t>State annual CO2 emissions (tons)</t>
  </si>
  <si>
    <t>State annual NOx total output emission rate (lb/MWh)</t>
  </si>
  <si>
    <t>State annual SO2 total output emission rate (lb/MWh)</t>
  </si>
  <si>
    <t>State annual CO2 total output emission rate (lb/MWh)</t>
  </si>
  <si>
    <t>State annual NOx input emission rate (lb/MMBtu)</t>
  </si>
  <si>
    <t>State ozone season NOx input emission rate (lb/MMBtu)</t>
  </si>
  <si>
    <t>State annual SO2 input emission rate (lb/MMBtu)</t>
  </si>
  <si>
    <t>State annual CO2 input emission rate (lb/MMBtu)</t>
  </si>
  <si>
    <t>State annual NOx fossil fuel output emission rate (lb/MWh)</t>
  </si>
  <si>
    <t>State annual SO2 fossil fuel output emission rate (lb/MWh)</t>
  </si>
  <si>
    <t>State annual CO2 fossil fuel output emission rate (lb/MWh)</t>
  </si>
  <si>
    <t>State annual NOx fossil fuel input emission rate (lb/MMBtu)</t>
  </si>
  <si>
    <t>State annual SO2 fossil fuel input emission rate (lb/MMBtu)</t>
  </si>
  <si>
    <t>State annual CO2 fossil fuel input emission rate (lb/MMBtu)</t>
  </si>
  <si>
    <t>State annual coal net generation (MWh)</t>
  </si>
  <si>
    <t>State annual oil net generation (MWh)</t>
  </si>
  <si>
    <t>State annual gas net generation (MWh)</t>
  </si>
  <si>
    <t>State annual other fossil net generation (MWh)</t>
  </si>
  <si>
    <t>State coal generation percent (resource mix)</t>
  </si>
  <si>
    <t>State oil generation percent (resource mix)</t>
  </si>
  <si>
    <t>State gas generation percent (resource mix)</t>
  </si>
  <si>
    <t>State other fossil  generation percent (resource mix)</t>
  </si>
  <si>
    <t>State total combustion generation percent (resource mix)</t>
  </si>
  <si>
    <t>Total Annual Heat Rate (Btu/kWh)</t>
  </si>
  <si>
    <t>Fossil Annual Heat Rate (Btu/kWh)</t>
  </si>
  <si>
    <r>
      <t>SO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</si>
  <si>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NO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</si>
  <si>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SO</t>
    </r>
    <r>
      <rPr>
        <vertAlign val="subscript"/>
        <sz val="11"/>
        <rFont val="Calibri"/>
        <family val="2"/>
        <scheme val="minor"/>
      </rPr>
      <t>X</t>
    </r>
    <r>
      <rPr>
        <sz val="11"/>
        <rFont val="Calibri"/>
        <family val="2"/>
        <scheme val="minor"/>
      </rPr>
      <t xml:space="preserve"> (pounds)</t>
    </r>
  </si>
  <si>
    <r>
      <t>NO</t>
    </r>
    <r>
      <rPr>
        <vertAlign val="subscript"/>
        <sz val="11"/>
        <rFont val="Calibri"/>
        <family val="2"/>
        <scheme val="minor"/>
      </rPr>
      <t>X</t>
    </r>
    <r>
      <rPr>
        <sz val="11"/>
        <rFont val="Calibri"/>
        <family val="2"/>
        <scheme val="minor"/>
      </rPr>
      <t xml:space="preserve"> (pounds)</t>
    </r>
  </si>
  <si>
    <r>
      <t>Generation (GWh)</t>
    </r>
    <r>
      <rPr>
        <vertAlign val="superscript"/>
        <sz val="11"/>
        <rFont val="Calibri"/>
        <family val="2"/>
        <scheme val="minor"/>
      </rPr>
      <t>2</t>
    </r>
  </si>
  <si>
    <r>
      <t>SO</t>
    </r>
    <r>
      <rPr>
        <vertAlign val="subscript"/>
        <sz val="11"/>
        <rFont val="Calibri"/>
        <family val="2"/>
        <scheme val="minor"/>
      </rPr>
      <t>2</t>
    </r>
    <r>
      <rPr>
        <sz val="11"/>
        <rFont val="Calibri"/>
        <family val="2"/>
        <scheme val="minor"/>
      </rPr>
      <t xml:space="preserve"> output emission rate (lb/MWh)</t>
    </r>
  </si>
  <si>
    <r>
      <t>NO</t>
    </r>
    <r>
      <rPr>
        <vertAlign val="subscript"/>
        <sz val="11"/>
        <rFont val="Calibri"/>
        <family val="2"/>
        <scheme val="minor"/>
      </rPr>
      <t>X</t>
    </r>
    <r>
      <rPr>
        <sz val="11"/>
        <rFont val="Calibri"/>
        <family val="2"/>
        <scheme val="minor"/>
      </rPr>
      <t xml:space="preserve"> output emission rate (lb/MWh)</t>
    </r>
  </si>
  <si>
    <t>Canada Province</t>
  </si>
  <si>
    <t>2004 Province Annual Heat Rate (Btu/kWh)</t>
  </si>
  <si>
    <t>State</t>
  </si>
  <si>
    <t>Annual Heat Rate (Btu/kWh)</t>
  </si>
  <si>
    <t>Pollutant</t>
  </si>
  <si>
    <t># of Tests</t>
  </si>
  <si>
    <t>Relative St. Dev (%)</t>
  </si>
  <si>
    <t>Value</t>
  </si>
  <si>
    <t>Units</t>
  </si>
  <si>
    <t>Monthly</t>
  </si>
  <si>
    <t>User Input</t>
  </si>
  <si>
    <t>N/A</t>
  </si>
  <si>
    <t>Generation Intensity</t>
  </si>
  <si>
    <t>Consumption Intensity</t>
  </si>
  <si>
    <r>
      <t>Losses</t>
    </r>
    <r>
      <rPr>
        <vertAlign val="superscript"/>
        <sz val="11"/>
        <color theme="1"/>
        <rFont val="Calibri"/>
        <family val="2"/>
        <scheme val="minor"/>
      </rPr>
      <t>1</t>
    </r>
  </si>
  <si>
    <t>Canada Average</t>
  </si>
  <si>
    <t>NOx (Small-Unc.)</t>
  </si>
  <si>
    <t>short ton/metric ton</t>
  </si>
  <si>
    <t>Annual</t>
  </si>
  <si>
    <t>AK</t>
  </si>
  <si>
    <t>Comparison Cases</t>
  </si>
  <si>
    <t>NOx (Small-Low NOx)</t>
  </si>
  <si>
    <t>mmbtu/therm</t>
  </si>
  <si>
    <t>AL</t>
  </si>
  <si>
    <t>Description</t>
  </si>
  <si>
    <t>Reference Case</t>
  </si>
  <si>
    <t>#5</t>
  </si>
  <si>
    <t>#6</t>
  </si>
  <si>
    <t>NOx (Small-Low NOx/FGR)</t>
  </si>
  <si>
    <t>pounds/short ton</t>
  </si>
  <si>
    <t>AR</t>
  </si>
  <si>
    <t>NOx (Large Wall-Fired-Low NOx)</t>
  </si>
  <si>
    <t>grams/pound</t>
  </si>
  <si>
    <t>AZ</t>
  </si>
  <si>
    <t>Electricity Consumption (kWh/yr)</t>
  </si>
  <si>
    <t>NOx (Large Wall-Fired-FGR)</t>
  </si>
  <si>
    <t>CA</t>
  </si>
  <si>
    <t>NOx (Large Wall-Fired Unc. Pre-NSPS)</t>
  </si>
  <si>
    <t>CO</t>
  </si>
  <si>
    <t>Natural Gas Consumption (MMBtu/yr)</t>
  </si>
  <si>
    <t>NOx (Large Wall-Fired Unc. Post-NSPS)</t>
  </si>
  <si>
    <t>CT</t>
  </si>
  <si>
    <t>NOx (Tangential-Unc.)</t>
  </si>
  <si>
    <t>District of Columbia</t>
  </si>
  <si>
    <t>DC</t>
  </si>
  <si>
    <t>Propane Consumption (gal/yr)</t>
  </si>
  <si>
    <t>NOx (Tangential-FGR)</t>
  </si>
  <si>
    <t>DE</t>
  </si>
  <si>
    <t>FL</t>
  </si>
  <si>
    <t>Heating Oil Consumption (gal/yr)</t>
  </si>
  <si>
    <t>GA</t>
  </si>
  <si>
    <t>HI</t>
  </si>
  <si>
    <r>
      <rPr>
        <vertAlign val="superscript"/>
        <sz val="11"/>
        <rFont val="Calibri"/>
        <family val="2"/>
        <scheme val="minor"/>
      </rPr>
      <t>1</t>
    </r>
    <r>
      <rPr>
        <sz val="11"/>
        <rFont val="Calibri"/>
        <family val="2"/>
        <scheme val="minor"/>
      </rPr>
      <t xml:space="preserve"> 2011 metric tons, taken from National Pollutant Release Inventory (NPRI) Downloadable Datasets, 2011 Air Pollutant Emission Summaries and Trends. 2011 Emissions from Electric Power Generation (Utilities)</t>
    </r>
  </si>
  <si>
    <t>IA</t>
  </si>
  <si>
    <t>http://www.ec.gc.ca/inrp-npri/default.asp?lang=en&amp;n=0EC58C98-#Emission_Summaries</t>
  </si>
  <si>
    <t>ID</t>
  </si>
  <si>
    <t>Source: National Inventory Report, Greenhouse Gas Sources and Sinks in Canada 1990-2011, Environment Canada, Part 3.</t>
  </si>
  <si>
    <r>
      <rPr>
        <vertAlign val="superscript"/>
        <sz val="11"/>
        <rFont val="Calibri"/>
        <family val="2"/>
        <scheme val="minor"/>
      </rPr>
      <t>2</t>
    </r>
    <r>
      <rPr>
        <sz val="11"/>
        <rFont val="Calibri"/>
        <family val="2"/>
        <scheme val="minor"/>
      </rPr>
      <t xml:space="preserve"> 2011 Generation, taken from National Inventory Report, Greenhouse Gas Sources and Sinks in Canada 1990-2011, Environment Canada, Part 3</t>
    </r>
  </si>
  <si>
    <t>IL</t>
  </si>
  <si>
    <t>IN</t>
  </si>
  <si>
    <t>KS</t>
  </si>
  <si>
    <t>KY</t>
  </si>
  <si>
    <t>Annual Results</t>
  </si>
  <si>
    <t xml:space="preserve">Reference </t>
  </si>
  <si>
    <t>LA</t>
  </si>
  <si>
    <t>Case</t>
  </si>
  <si>
    <t>MA</t>
  </si>
  <si>
    <t>Energy Consumption</t>
  </si>
  <si>
    <t>MD</t>
  </si>
  <si>
    <t>Electricity (generated at central power plant)</t>
  </si>
  <si>
    <t>ME</t>
  </si>
  <si>
    <t>Natural Gas</t>
  </si>
  <si>
    <t>MI</t>
  </si>
  <si>
    <t>Propane</t>
  </si>
  <si>
    <t>MMBtu/yr</t>
  </si>
  <si>
    <t>MN</t>
  </si>
  <si>
    <t>Heating Oil</t>
  </si>
  <si>
    <t>MO</t>
  </si>
  <si>
    <t>Total Energy Consumption</t>
  </si>
  <si>
    <t>MS</t>
  </si>
  <si>
    <r>
      <t>CO</t>
    </r>
    <r>
      <rPr>
        <b/>
        <vertAlign val="subscript"/>
        <sz val="11"/>
        <color theme="1"/>
        <rFont val="Calibri"/>
        <family val="2"/>
        <scheme val="minor"/>
      </rPr>
      <t xml:space="preserve">2 </t>
    </r>
    <r>
      <rPr>
        <b/>
        <sz val="11"/>
        <color theme="1"/>
        <rFont val="Calibri"/>
        <family val="2"/>
        <scheme val="minor"/>
      </rPr>
      <t>Emissions</t>
    </r>
  </si>
  <si>
    <t>lb/year</t>
  </si>
  <si>
    <t>MT</t>
  </si>
  <si>
    <t>Electricity</t>
  </si>
  <si>
    <t>NC</t>
  </si>
  <si>
    <t>ND</t>
  </si>
  <si>
    <t>NE</t>
  </si>
  <si>
    <t>NH</t>
  </si>
  <si>
    <r>
      <t>Total CO</t>
    </r>
    <r>
      <rPr>
        <b/>
        <vertAlign val="subscript"/>
        <sz val="11"/>
        <color theme="1"/>
        <rFont val="Calibri"/>
        <family val="2"/>
        <scheme val="minor"/>
      </rPr>
      <t xml:space="preserve">2 </t>
    </r>
    <r>
      <rPr>
        <b/>
        <sz val="11"/>
        <color theme="1"/>
        <rFont val="Calibri"/>
        <family val="2"/>
        <scheme val="minor"/>
      </rPr>
      <t>Emissions</t>
    </r>
  </si>
  <si>
    <t>NJ</t>
  </si>
  <si>
    <r>
      <t>SO</t>
    </r>
    <r>
      <rPr>
        <b/>
        <vertAlign val="subscript"/>
        <sz val="11"/>
        <color theme="1"/>
        <rFont val="Calibri"/>
        <family val="2"/>
        <scheme val="minor"/>
      </rPr>
      <t xml:space="preserve">2 </t>
    </r>
    <r>
      <rPr>
        <b/>
        <sz val="11"/>
        <color theme="1"/>
        <rFont val="Calibri"/>
        <family val="2"/>
        <scheme val="minor"/>
      </rPr>
      <t>Emissions</t>
    </r>
  </si>
  <si>
    <t>NM</t>
  </si>
  <si>
    <t>NV</t>
  </si>
  <si>
    <t>NY</t>
  </si>
  <si>
    <t>OH</t>
  </si>
  <si>
    <t>OK</t>
  </si>
  <si>
    <r>
      <t>Total SO</t>
    </r>
    <r>
      <rPr>
        <b/>
        <vertAlign val="subscript"/>
        <sz val="11"/>
        <color theme="1"/>
        <rFont val="Calibri"/>
        <family val="2"/>
        <scheme val="minor"/>
      </rPr>
      <t xml:space="preserve">2 </t>
    </r>
    <r>
      <rPr>
        <b/>
        <sz val="11"/>
        <color theme="1"/>
        <rFont val="Calibri"/>
        <family val="2"/>
        <scheme val="minor"/>
      </rPr>
      <t>Emissions</t>
    </r>
  </si>
  <si>
    <t>OR</t>
  </si>
  <si>
    <r>
      <t>NO</t>
    </r>
    <r>
      <rPr>
        <b/>
        <vertAlign val="subscript"/>
        <sz val="11"/>
        <color theme="1"/>
        <rFont val="Calibri"/>
        <family val="2"/>
        <scheme val="minor"/>
      </rPr>
      <t xml:space="preserve">X </t>
    </r>
    <r>
      <rPr>
        <b/>
        <sz val="11"/>
        <color theme="1"/>
        <rFont val="Calibri"/>
        <family val="2"/>
        <scheme val="minor"/>
      </rPr>
      <t>Emissions</t>
    </r>
  </si>
  <si>
    <t>PA</t>
  </si>
  <si>
    <t>RI</t>
  </si>
  <si>
    <t>SC</t>
  </si>
  <si>
    <t>SD</t>
  </si>
  <si>
    <t>TN</t>
  </si>
  <si>
    <r>
      <t>Total NO</t>
    </r>
    <r>
      <rPr>
        <b/>
        <vertAlign val="subscript"/>
        <sz val="11"/>
        <color theme="1"/>
        <rFont val="Calibri"/>
        <family val="2"/>
        <scheme val="minor"/>
      </rPr>
      <t xml:space="preserve">X </t>
    </r>
    <r>
      <rPr>
        <b/>
        <sz val="11"/>
        <color theme="1"/>
        <rFont val="Calibri"/>
        <family val="2"/>
        <scheme val="minor"/>
      </rPr>
      <t>Emissions</t>
    </r>
  </si>
  <si>
    <t>TX</t>
  </si>
  <si>
    <t>Emissions Savings (relative to Reference Case)</t>
  </si>
  <si>
    <t>UT</t>
  </si>
  <si>
    <r>
      <t>CO</t>
    </r>
    <r>
      <rPr>
        <vertAlign val="subscript"/>
        <sz val="11"/>
        <color theme="1"/>
        <rFont val="Calibri"/>
        <family val="2"/>
        <scheme val="minor"/>
      </rPr>
      <t>2</t>
    </r>
  </si>
  <si>
    <t>VA</t>
  </si>
  <si>
    <t>VT</t>
  </si>
  <si>
    <r>
      <t>SO</t>
    </r>
    <r>
      <rPr>
        <vertAlign val="subscript"/>
        <sz val="11"/>
        <color theme="1"/>
        <rFont val="Calibri"/>
        <family val="2"/>
        <scheme val="minor"/>
      </rPr>
      <t>2</t>
    </r>
  </si>
  <si>
    <t>WA</t>
  </si>
  <si>
    <t>WI</t>
  </si>
  <si>
    <r>
      <t>NO</t>
    </r>
    <r>
      <rPr>
        <vertAlign val="subscript"/>
        <sz val="11"/>
        <color theme="1"/>
        <rFont val="Calibri"/>
        <family val="2"/>
        <scheme val="minor"/>
      </rPr>
      <t>X</t>
    </r>
  </si>
  <si>
    <t>WV</t>
  </si>
  <si>
    <t>WY</t>
  </si>
  <si>
    <r>
      <t>Equivalent CO</t>
    </r>
    <r>
      <rPr>
        <b/>
        <vertAlign val="subscript"/>
        <sz val="11"/>
        <color theme="1"/>
        <rFont val="Calibri"/>
        <family val="2"/>
        <scheme val="minor"/>
      </rPr>
      <t>2</t>
    </r>
    <r>
      <rPr>
        <b/>
        <sz val="11"/>
        <color theme="1"/>
        <rFont val="Calibri"/>
        <family val="2"/>
        <scheme val="minor"/>
      </rPr>
      <t xml:space="preserve"> Emissions </t>
    </r>
  </si>
  <si>
    <t>Cars</t>
  </si>
  <si>
    <t>US Average_Fossil</t>
  </si>
  <si>
    <t>Homes</t>
  </si>
  <si>
    <t>AK_Fossil</t>
  </si>
  <si>
    <t>AL_Fossil</t>
  </si>
  <si>
    <t>AR_Fossil</t>
  </si>
  <si>
    <t>Assumptions and Data Sources</t>
  </si>
  <si>
    <t>AZ_Fossil</t>
  </si>
  <si>
    <t>CA_Fossil</t>
  </si>
  <si>
    <t>Source</t>
  </si>
  <si>
    <t>Link</t>
  </si>
  <si>
    <t>CO_Fossil</t>
  </si>
  <si>
    <t>Average gross (or higher) heating value of natural gas</t>
  </si>
  <si>
    <t>Btu/scf</t>
  </si>
  <si>
    <t>U.S. Environmental Protection Agency, AP 42, Fifth Edition, Volume I. Chapter 1: External Combustion Sources, Section 4. Natural Gas Combustion, Final Section, Section 1.4.1.</t>
  </si>
  <si>
    <t>http://www.epa.gov/ttn/chief/ap42/ch01/final/c01s04.pdf</t>
  </si>
  <si>
    <t>CT_Fossil</t>
  </si>
  <si>
    <r>
      <t>Natural Gas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</si>
  <si>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6</t>
    </r>
    <r>
      <rPr>
        <sz val="10"/>
        <color theme="1"/>
        <rFont val="Calibri"/>
        <family val="2"/>
        <scheme val="minor"/>
      </rPr>
      <t xml:space="preserve"> scf</t>
    </r>
  </si>
  <si>
    <t>U.S. Environmental Protection Agency, AP 42, Fifth Edition, Volume I. Chapter 1: External Combustion Sources, Section 4. Natural Gas Combustion, Final Section. Table 1.4-2</t>
  </si>
  <si>
    <t>DC_Fossil</t>
  </si>
  <si>
    <r>
      <t>Natural Gas SO</t>
    </r>
    <r>
      <rPr>
        <vertAlign val="subscript"/>
        <sz val="10"/>
        <color theme="1"/>
        <rFont val="Calibri"/>
        <family val="2"/>
        <scheme val="minor"/>
      </rPr>
      <t>2</t>
    </r>
    <r>
      <rPr>
        <sz val="10"/>
        <color theme="1"/>
        <rFont val="Calibri"/>
        <family val="2"/>
        <scheme val="minor"/>
      </rPr>
      <t xml:space="preserve"> Emission Factor</t>
    </r>
  </si>
  <si>
    <t>DE_Fossil</t>
  </si>
  <si>
    <r>
      <t>Natural Gas NO</t>
    </r>
    <r>
      <rPr>
        <vertAlign val="subscript"/>
        <sz val="10"/>
        <color theme="1"/>
        <rFont val="Calibri"/>
        <family val="2"/>
        <scheme val="minor"/>
      </rPr>
      <t>X</t>
    </r>
    <r>
      <rPr>
        <sz val="10"/>
        <color theme="1"/>
        <rFont val="Calibri"/>
        <family val="2"/>
        <scheme val="minor"/>
      </rPr>
      <t xml:space="preserve"> Emission Factor</t>
    </r>
  </si>
  <si>
    <t>U.S. Environmental Protection Agency, AP 42, Fifth Edition, Volume I. Chapter 1: External Combustion Sources, Section 4. Natural Gas Combustion, Background Document, Table 3.4-1.</t>
  </si>
  <si>
    <t>http://www.epa.gov/ttn/chief/ap42/ch01/bgdocs/b01s04.pdf</t>
  </si>
  <si>
    <t>FL_Fossil</t>
  </si>
  <si>
    <t>Propane Heat Content</t>
  </si>
  <si>
    <r>
      <t>MMBtu/10</t>
    </r>
    <r>
      <rPr>
        <vertAlign val="superscript"/>
        <sz val="10"/>
        <color theme="1"/>
        <rFont val="Calibri"/>
        <family val="2"/>
        <scheme val="minor"/>
      </rPr>
      <t>3</t>
    </r>
    <r>
      <rPr>
        <sz val="10"/>
        <color theme="1"/>
        <rFont val="Calibri"/>
        <family val="2"/>
        <scheme val="minor"/>
      </rPr>
      <t xml:space="preserve"> gal</t>
    </r>
  </si>
  <si>
    <t>U.S. Environmental Protection Agency, AP 42, Fifth Edition, Volume I. Chapter 1: External Combustion Sources, Section 5. Liquefied Petroleum Gas Combustion, Final Document, Table 1.5-1.</t>
  </si>
  <si>
    <t>http://www.epa.gov/ttn/chief/ap42/ch01/final/c01s05.pdf</t>
  </si>
  <si>
    <t>GA_Fossil</t>
  </si>
  <si>
    <r>
      <t>Propane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</si>
  <si>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3</t>
    </r>
    <r>
      <rPr>
        <sz val="10"/>
        <color theme="1"/>
        <rFont val="Calibri"/>
        <family val="2"/>
        <scheme val="minor"/>
      </rPr>
      <t xml:space="preserve"> gal</t>
    </r>
  </si>
  <si>
    <t>HI_Fossil</t>
  </si>
  <si>
    <r>
      <t>Propane SO</t>
    </r>
    <r>
      <rPr>
        <vertAlign val="subscript"/>
        <sz val="10"/>
        <color theme="1"/>
        <rFont val="Calibri"/>
        <family val="2"/>
        <scheme val="minor"/>
      </rPr>
      <t>2</t>
    </r>
    <r>
      <rPr>
        <sz val="10"/>
        <color theme="1"/>
        <rFont val="Calibri"/>
        <family val="2"/>
        <scheme val="minor"/>
      </rPr>
      <t xml:space="preserve"> Emission Factor</t>
    </r>
  </si>
  <si>
    <t>IA_Fossil</t>
  </si>
  <si>
    <r>
      <t>Propane NO</t>
    </r>
    <r>
      <rPr>
        <vertAlign val="subscript"/>
        <sz val="10"/>
        <color theme="1"/>
        <rFont val="Calibri"/>
        <family val="2"/>
        <scheme val="minor"/>
      </rPr>
      <t>X</t>
    </r>
    <r>
      <rPr>
        <sz val="10"/>
        <color theme="1"/>
        <rFont val="Calibri"/>
        <family val="2"/>
        <scheme val="minor"/>
      </rPr>
      <t xml:space="preserve"> Emission Factor</t>
    </r>
  </si>
  <si>
    <t>ID_Fossil</t>
  </si>
  <si>
    <t>Heating Oil (No. 2) Heat Content</t>
  </si>
  <si>
    <t>U.S. Environmental Protection Agency, AP 42, Fifth Edition, Volume I. Chapter 1: External Combustion Sources, Section 3. Fuel Oil Combustion, Background Document.</t>
  </si>
  <si>
    <t>http://www.epa.gov/ttn/chief/ap42/ch01/bgdocs/b01s03.pdf</t>
  </si>
  <si>
    <t>IL_Fossil</t>
  </si>
  <si>
    <r>
      <t>Heating Oil (No. 2) CO</t>
    </r>
    <r>
      <rPr>
        <vertAlign val="subscript"/>
        <sz val="10"/>
        <color theme="1"/>
        <rFont val="Calibri"/>
        <family val="2"/>
        <scheme val="minor"/>
      </rPr>
      <t>2</t>
    </r>
    <r>
      <rPr>
        <sz val="10"/>
        <color theme="1"/>
        <rFont val="Calibri"/>
        <family val="2"/>
        <scheme val="minor"/>
      </rPr>
      <t xml:space="preserve"> Emission Factor</t>
    </r>
  </si>
  <si>
    <t>U.S. Environmental Protection Agency, AP 42, Fifth Edition, Volume I. Chapter 1: External Combustion Sources, Section 3. Fuel Oil Combustion, Background Document. Table 6.</t>
  </si>
  <si>
    <t>IN_Fossil</t>
  </si>
  <si>
    <r>
      <t>Heating Oil (No. 2) SO</t>
    </r>
    <r>
      <rPr>
        <vertAlign val="subscript"/>
        <sz val="10"/>
        <color theme="1"/>
        <rFont val="Calibri"/>
        <family val="2"/>
        <scheme val="minor"/>
      </rPr>
      <t>2</t>
    </r>
    <r>
      <rPr>
        <sz val="10"/>
        <color theme="1"/>
        <rFont val="Calibri"/>
        <family val="2"/>
        <scheme val="minor"/>
      </rPr>
      <t xml:space="preserve"> Emission Factor</t>
    </r>
  </si>
  <si>
    <t>U.S. Environmental Protection Agency, AP 42, Fifth Edition, Volume I. Chapter 1: External Combustion Sources, Section 3. Fuel Oil Combustion, Final Document. Table 1.3-1</t>
  </si>
  <si>
    <t>KS_Fossil</t>
  </si>
  <si>
    <r>
      <t>Heating Oil (No. 2) NO</t>
    </r>
    <r>
      <rPr>
        <vertAlign val="subscript"/>
        <sz val="10"/>
        <color theme="1"/>
        <rFont val="Calibri"/>
        <family val="2"/>
        <scheme val="minor"/>
      </rPr>
      <t>X</t>
    </r>
    <r>
      <rPr>
        <sz val="10"/>
        <color theme="1"/>
        <rFont val="Calibri"/>
        <family val="2"/>
        <scheme val="minor"/>
      </rPr>
      <t xml:space="preserve"> Emission Factor</t>
    </r>
  </si>
  <si>
    <t>U.S. Environmental Protection Agency, AP 42, Fifth Edition, Volume I. Chapter 1: External Combustion Sources, Section 3. Fuel Oil Combustion, Background Document. Table 2.</t>
  </si>
  <si>
    <t>KY_Fossil</t>
  </si>
  <si>
    <t>U.S. Transmission and Distribution Electricity Losses</t>
  </si>
  <si>
    <t>Percent</t>
  </si>
  <si>
    <t>U.S. Energy Information Administration, Frequently Asked Questions, "How much electricity is lost in transmission and distribution in the United States?"</t>
  </si>
  <si>
    <t>http://www.eia.gov/tools/faqs/faq.cfm?id=105&amp;t=3</t>
  </si>
  <si>
    <t>LA_Fossil</t>
  </si>
  <si>
    <r>
      <t>Metric Tons of CO</t>
    </r>
    <r>
      <rPr>
        <vertAlign val="subscript"/>
        <sz val="10"/>
        <color theme="1"/>
        <rFont val="Calibri"/>
        <family val="2"/>
        <scheme val="minor"/>
      </rPr>
      <t>2</t>
    </r>
    <r>
      <rPr>
        <sz val="10"/>
        <color theme="1"/>
        <rFont val="Calibri"/>
        <family val="2"/>
        <scheme val="minor"/>
      </rPr>
      <t>e per passenger vehicle per year</t>
    </r>
  </si>
  <si>
    <t>tonnes</t>
  </si>
  <si>
    <t>U.S. Environmental Protection Agency, Greenhouse Gas Equivalencies Calculator, Calculations and References, Passenger Vehicles per Year</t>
  </si>
  <si>
    <t>https://www.epa.gov/energy/ghg-equivalencies-calculator-calculations-and-references</t>
  </si>
  <si>
    <t>MA_Fossil</t>
  </si>
  <si>
    <r>
      <t>Metric Tons of CO</t>
    </r>
    <r>
      <rPr>
        <vertAlign val="subscript"/>
        <sz val="10"/>
        <color theme="1"/>
        <rFont val="Calibri"/>
        <family val="2"/>
        <scheme val="minor"/>
      </rPr>
      <t>2</t>
    </r>
    <r>
      <rPr>
        <sz val="10"/>
        <color theme="1"/>
        <rFont val="Calibri"/>
        <family val="2"/>
        <scheme val="minor"/>
      </rPr>
      <t xml:space="preserve"> per home electricity usage per year</t>
    </r>
  </si>
  <si>
    <t>U.S. Environmental Protection Agency, Greenhouse Gas Equivalencies Calculator, Calculations and References, Home Electricity Use</t>
  </si>
  <si>
    <t>MD_Fossil</t>
  </si>
  <si>
    <r>
      <t>U.S. Emissions Data (CO</t>
    </r>
    <r>
      <rPr>
        <vertAlign val="subscript"/>
        <sz val="10"/>
        <color theme="1"/>
        <rFont val="Calibri"/>
        <family val="2"/>
        <scheme val="minor"/>
      </rPr>
      <t>2</t>
    </r>
    <r>
      <rPr>
        <sz val="10"/>
        <color theme="1"/>
        <rFont val="Calibri"/>
        <family val="2"/>
        <scheme val="minor"/>
      </rPr>
      <t>,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</si>
  <si>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t>---</t>
  </si>
  <si>
    <t>ME_Fossil</t>
  </si>
  <si>
    <r>
      <t>Canada Emissions Data (CO</t>
    </r>
    <r>
      <rPr>
        <vertAlign val="subscript"/>
        <sz val="10"/>
        <color theme="1"/>
        <rFont val="Calibri"/>
        <family val="2"/>
        <scheme val="minor"/>
      </rPr>
      <t>2</t>
    </r>
    <r>
      <rPr>
        <sz val="10"/>
        <color theme="1"/>
        <rFont val="Calibri"/>
        <family val="2"/>
        <scheme val="minor"/>
      </rPr>
      <t>)</t>
    </r>
  </si>
  <si>
    <t>National Inventory Report, Greenhouse Gas Sources and Sinks in Canada 1990-2011, Environment Canada, Part 3.</t>
  </si>
  <si>
    <t>http://www.ec.gc.ca/ges-ghg/</t>
  </si>
  <si>
    <t>MI_Fossil</t>
  </si>
  <si>
    <r>
      <t>Canada Emissions Data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</si>
  <si>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t>National Pollutant Release Inventory (NPRI) Downloadable Datasets, 2011 Air Pollutant Emission Summaries and Trends. 2011 Emissions from Electric Power Generation (Utilities)</t>
  </si>
  <si>
    <t>MN_Fossil</t>
  </si>
  <si>
    <t>MO_Fossil</t>
  </si>
  <si>
    <t>Calculations</t>
  </si>
  <si>
    <t>MS_Fossil</t>
  </si>
  <si>
    <t>MT_Fossil</t>
  </si>
  <si>
    <t>NC_Fossil</t>
  </si>
  <si>
    <t>ND_Fossil</t>
  </si>
  <si>
    <t>NE_Fossil</t>
  </si>
  <si>
    <t>kWh</t>
  </si>
  <si>
    <t>NH_Fossil</t>
  </si>
  <si>
    <t>MMBtu</t>
  </si>
  <si>
    <t>NJ_Fossil</t>
  </si>
  <si>
    <t>Annual Propane Consumption (gal)</t>
  </si>
  <si>
    <t>gal</t>
  </si>
  <si>
    <t>NM_Fossil</t>
  </si>
  <si>
    <t>Annual Heating Oil Consumption (gal)</t>
  </si>
  <si>
    <t>NV_Fossil</t>
  </si>
  <si>
    <t>NY_Fossil</t>
  </si>
  <si>
    <t>OH_Fossil</t>
  </si>
  <si>
    <t>State Abbrev</t>
  </si>
  <si>
    <t>OK_Fossil</t>
  </si>
  <si>
    <t>U.S. State Selected?</t>
  </si>
  <si>
    <t>Y/N</t>
  </si>
  <si>
    <t>OR_Fossil</t>
  </si>
  <si>
    <t>U.S. Fossil Emissions Profile?</t>
  </si>
  <si>
    <t>PA_Fossil</t>
  </si>
  <si>
    <t>Heat Rate</t>
  </si>
  <si>
    <t>Btu/kWh</t>
  </si>
  <si>
    <t>RI_Fossil</t>
  </si>
  <si>
    <t>lb/MWh</t>
  </si>
  <si>
    <t>SC_Fossil</t>
  </si>
  <si>
    <t>SD_Fossil</t>
  </si>
  <si>
    <t>TN_Fossil</t>
  </si>
  <si>
    <t>lb/MMBtu</t>
  </si>
  <si>
    <t>TX_Fossil</t>
  </si>
  <si>
    <t>UT_Fossil</t>
  </si>
  <si>
    <t>VA_Fossil</t>
  </si>
  <si>
    <t>VT_Fossil</t>
  </si>
  <si>
    <t>WA_Fossil</t>
  </si>
  <si>
    <t>WI_Fossil</t>
  </si>
  <si>
    <t>WV_Fossil</t>
  </si>
  <si>
    <t>WY_Fossil</t>
  </si>
  <si>
    <t>Electricity Consumption</t>
  </si>
  <si>
    <t>Electricity CO2 Emissions</t>
  </si>
  <si>
    <t>lb</t>
  </si>
  <si>
    <t>Electricity SO2 Emissions</t>
  </si>
  <si>
    <t>Electricity NOX Emissions</t>
  </si>
  <si>
    <t>Annual Natural Gas Consumption (MMBtu)</t>
  </si>
  <si>
    <t>Natural Gas CO2 Emissions</t>
  </si>
  <si>
    <t>Natural Gas SO2 Emissions</t>
  </si>
  <si>
    <t>Natural Gas NOX Emissions</t>
  </si>
  <si>
    <t>Propane Consumption</t>
  </si>
  <si>
    <t>Propane CO2 Emissions</t>
  </si>
  <si>
    <t>Propane SO2 Emissions</t>
  </si>
  <si>
    <t>Propane NOX Emissions</t>
  </si>
  <si>
    <t>Heating Oil Consumption</t>
  </si>
  <si>
    <t>Heating Oil CO2 Emissions</t>
  </si>
  <si>
    <t>Heating Oil SO2 Emissions</t>
  </si>
  <si>
    <t>Heating Oil NOX Emissions</t>
  </si>
  <si>
    <t>Total CO2 Emissions</t>
  </si>
  <si>
    <t>Total SO2 Emissions</t>
  </si>
  <si>
    <t>Total NOX Emissions</t>
  </si>
  <si>
    <t>CO2 Emission Savings</t>
  </si>
  <si>
    <t>SO2 Emission Savings</t>
  </si>
  <si>
    <t>NOX Emission Savings</t>
  </si>
  <si>
    <t>CO2 Emissions Delta</t>
  </si>
  <si>
    <t>metric tons</t>
  </si>
  <si>
    <t>Cars off Highway (CO2 Equivalent)</t>
  </si>
  <si>
    <t>cars</t>
  </si>
  <si>
    <t>Home Electricity Usage (CO2 Equivalent)</t>
  </si>
  <si>
    <t>homes</t>
  </si>
  <si>
    <t>Recip</t>
  </si>
  <si>
    <t>Gas Consumption (MMBTU/Yr)</t>
  </si>
  <si>
    <t>Equivalent # of vehicles</t>
  </si>
  <si>
    <t>Equivalent # of homes</t>
  </si>
  <si>
    <t>Displaced gas heat (MMBTU/Yr): = recovered heat /80% boiler efficiency</t>
  </si>
  <si>
    <t>Orig Ontario All source</t>
  </si>
  <si>
    <t>Orig formulas &gt;&gt;&gt;&gt; (alberta example)</t>
  </si>
  <si>
    <t>…for other provinces</t>
  </si>
  <si>
    <t>Removed from List since no marginal mix avaialble</t>
  </si>
  <si>
    <t>Canada</t>
  </si>
  <si>
    <t>Cost Less CHP Incentive(s)</t>
  </si>
  <si>
    <t>Orig New Brunswick</t>
  </si>
  <si>
    <t>1582.9 (no change)</t>
  </si>
  <si>
    <t>Changed</t>
  </si>
  <si>
    <t>**Ontario #'s replaced to include Marginal Power Mix as provided by Enbridge Gas on 8/14/16, then updated NB and NS per Enbridge on 9/13/16</t>
  </si>
  <si>
    <r>
      <rPr>
        <b/>
        <sz val="10"/>
        <color rgb="FFFF0000"/>
        <rFont val="Arial"/>
        <family val="2"/>
      </rPr>
      <t xml:space="preserve">1.  </t>
    </r>
    <r>
      <rPr>
        <b/>
        <sz val="10"/>
        <rFont val="Arial"/>
        <family val="2"/>
      </rPr>
      <t>Size CHP Electric Generator (KW)</t>
    </r>
  </si>
  <si>
    <r>
      <rPr>
        <b/>
        <sz val="10"/>
        <color rgb="FFFF0000"/>
        <rFont val="Arial"/>
        <family val="2"/>
      </rPr>
      <t xml:space="preserve">3.  </t>
    </r>
    <r>
      <rPr>
        <b/>
        <sz val="10"/>
        <rFont val="Arial"/>
        <family val="2"/>
      </rPr>
      <t>Number of months generating power</t>
    </r>
  </si>
  <si>
    <r>
      <rPr>
        <b/>
        <sz val="10"/>
        <color rgb="FFFF0000"/>
        <rFont val="Arial"/>
        <family val="2"/>
      </rPr>
      <t xml:space="preserve">5.  </t>
    </r>
    <r>
      <rPr>
        <b/>
        <sz val="10"/>
        <rFont val="Arial"/>
        <family val="2"/>
      </rPr>
      <t>Interest Rate on Loan for Installed Cost</t>
    </r>
  </si>
  <si>
    <t>Package multiple Micro turbines to reach 2 MW</t>
  </si>
  <si>
    <t>Federal CHP Investment Tax Credit</t>
  </si>
  <si>
    <r>
      <rPr>
        <b/>
        <sz val="10"/>
        <color rgb="FFFF0000"/>
        <rFont val="Arial"/>
        <family val="2"/>
      </rPr>
      <t xml:space="preserve">2.  </t>
    </r>
    <r>
      <rPr>
        <b/>
        <sz val="10"/>
        <rFont val="Arial"/>
        <family val="2"/>
      </rPr>
      <t>Hours of Cogeneration ( /Year)</t>
    </r>
  </si>
  <si>
    <t>CO2 savings per year (Tons)</t>
  </si>
  <si>
    <t xml:space="preserve"> </t>
  </si>
  <si>
    <r>
      <t>CO</t>
    </r>
    <r>
      <rPr>
        <vertAlign val="subscript"/>
        <sz val="11"/>
        <color theme="1"/>
        <rFont val="Calibri"/>
        <family val="2"/>
        <scheme val="minor"/>
      </rPr>
      <t>2</t>
    </r>
    <r>
      <rPr>
        <sz val="10"/>
        <rFont val="Arial"/>
        <family val="2"/>
      </rPr>
      <t xml:space="preserve"> Emission Rate (lb/MWh)</t>
    </r>
  </si>
  <si>
    <r>
      <t>SO</t>
    </r>
    <r>
      <rPr>
        <vertAlign val="subscript"/>
        <sz val="11"/>
        <color theme="1"/>
        <rFont val="Calibri"/>
        <family val="2"/>
        <scheme val="minor"/>
      </rPr>
      <t>2</t>
    </r>
    <r>
      <rPr>
        <sz val="10"/>
        <rFont val="Arial"/>
        <family val="2"/>
      </rPr>
      <t xml:space="preserve"> Emission Rate (lb/MWh)</t>
    </r>
  </si>
  <si>
    <r>
      <t>NO</t>
    </r>
    <r>
      <rPr>
        <vertAlign val="subscript"/>
        <sz val="11"/>
        <color theme="1"/>
        <rFont val="Calibri"/>
        <family val="2"/>
        <scheme val="minor"/>
      </rPr>
      <t>X</t>
    </r>
    <r>
      <rPr>
        <sz val="10"/>
        <rFont val="Arial"/>
        <family val="2"/>
      </rPr>
      <t xml:space="preserve"> Emission Rate (lb/MWh)</t>
    </r>
  </si>
  <si>
    <r>
      <rPr>
        <b/>
        <sz val="10"/>
        <color rgb="FFFF0000"/>
        <rFont val="Arial"/>
        <family val="2"/>
      </rPr>
      <t xml:space="preserve">4.  </t>
    </r>
    <r>
      <rPr>
        <b/>
        <sz val="10"/>
        <rFont val="Arial"/>
        <family val="2"/>
      </rPr>
      <t># Years CHP Plant will be Financed</t>
    </r>
  </si>
  <si>
    <t>Recip. Engine</t>
  </si>
  <si>
    <t xml:space="preserve">User Inputs: </t>
  </si>
  <si>
    <t>Company/Customer Name</t>
  </si>
  <si>
    <t>Facility/Site Location</t>
  </si>
  <si>
    <t>Internal Rate of Return (20 Year cash flow)</t>
  </si>
  <si>
    <t>{"IsHide":false,"SheetId":1,"Name":"CHP Payback","HiddenRow":1,"VisibleRange":"","SheetTheme":{"TabColor":"","BodyColor":"","BodyImage":""}}</t>
  </si>
  <si>
    <t>{"IsHide":true,"SheetId":2,"Name":"Overview","HiddenRow":2,"VisibleRange":"","SheetTheme":{"TabColor":"","BodyColor":"","BodyImage":""}}</t>
  </si>
  <si>
    <t>{"IsHide":true,"SheetId":3,"Name":"Assumptions","HiddenRow":3,"VisibleRange":"","SheetTheme":{"TabColor":"","BodyColor":"","BodyImage":""}}</t>
  </si>
  <si>
    <t>{"IsHide":true,"SheetId":4,"Name":"Life Cycle Cost ","HiddenRow":4,"VisibleRange":"","SheetTheme":{"TabColor":"","BodyColor":"","BodyImage":""}}</t>
  </si>
  <si>
    <t>{"IsHide":true,"SheetId":5,"Name":"Commercial Carbon Calculator","HiddenRow":5,"VisibleRange":"","SheetTheme":{"TabColor":"","BodyColor":"","BodyImage":""}}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</si>
  <si>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ConversionPath":"C:\\Users\\Owner\\Documents\\SpreadsheetConverter"},"AdvancedSettingsModels":[],"Dropbox":{"AccessToken":"","AccessSecret":""},"SpreadsheetServer":{"Username":"","Password":"","ServerUrl":""},"ConfigureSubmitDefault":{"Email":""}}</t>
  </si>
  <si>
    <t>{"ButtonStyle":0,"Name":"","HideSscPoweredlogo":false,"CopyProtect":{"IsEnabled":false,"DomainName":""},"Theme":{"BgColor":"#FFFFFFFF","BgImage":"","InputBorderStyle":2},"Layout":0,"SmartphoneSettings":{"ViewportLock":true,"UseOldViewEngine":false,"EnableZoom":false,"EnableSwipe":false,"HideToolbar":false,"CheckboxFlavor":1},"SmartphoneTheme":0,"InputDetection":0,"Toolbar":{"Position":1,"IsSubmit":true,"IsPrint":true,"IsPrintAll":false,"IsReset":true,"IsUpdate":true},"AspnetConfig":{"BrowseUrl":"http://localhost/ssc","FileExtension":0},"ConfigureSubmit":{"IsShowCaptcha":false,"IsUseSscWebServer":true,"ReceiverCode":"","IsFreeService":false,"IsAdvanceService":false,"IsDemonstrationService":true,"AfterSuccessfulSubmit":"","AfterFailSubmit":"","AfterCancelWizard":"","IsUseOwnWebServer":false,"OwnWebServerURL":"","OwnWebServerTarget":"","SubmitTarget":0},"Flavor":0,"Edition":3,"IgnoreBgInputCell":false}</t>
  </si>
  <si>
    <t>_Ctrl_1</t>
  </si>
  <si>
    <t>{"WidgetClassification":0,"State":1,"IsRequired":true,"IsMultiline":false,"IsHidden":false,"Placeholder":"","InputType":0,"Rows":3,"IsMergeJustify":false,"CellName":"_Ctrl_1","CellAddress":"='CHP Payback'!$B$6","WidgetName":4,"HiddenRow":1,"SheetCodeName":null,"ControlId":"Company Name"}</t>
  </si>
  <si>
    <t>_Ctrl_2</t>
  </si>
  <si>
    <t>{"WidgetClassification":0,"State":1,"IsRequired":true,"IsMultiline":false,"IsHidden":false,"Placeholder":"","InputType":0,"Rows":3,"IsMergeJustify":false,"CellName":"_Ctrl_2","CellAddress":"='CHP Payback'!$D$6","WidgetName":4,"HiddenRow":2,"SheetCodeName":null,"ControlId":"Location"}</t>
  </si>
  <si>
    <r>
      <rPr>
        <b/>
        <sz val="10"/>
        <color rgb="FFFF0000"/>
        <rFont val="Arial"/>
        <family val="2"/>
      </rPr>
      <t xml:space="preserve">6.  </t>
    </r>
    <r>
      <rPr>
        <b/>
        <sz val="10"/>
        <rFont val="Arial"/>
        <family val="2"/>
      </rPr>
      <t>Investor Pays U.S. Federal Income Tax?</t>
    </r>
  </si>
  <si>
    <t>Y</t>
  </si>
  <si>
    <r>
      <t xml:space="preserve">Disclaimer: </t>
    </r>
    <r>
      <rPr>
        <i/>
        <sz val="9"/>
        <rFont val="Arial"/>
        <family val="2"/>
      </rPr>
      <t>This calculator was prepared for work sponsored by the Energy Solutions Center Inc. Neither The Energy Solutions Center, any member of The Energy Solutions Center, nor any person on behalf of any or all of them: a. Makes any warranty or representation, express or implied, with respect to the accuracy, completeness, or usefulness of the information contained in this calculation or report, or b. Assumes any liability with respect to the use of or for damages resulting from the use of any  information disclosed in this application or report.
Notes: CO2 savings are based off the marginal power mix for U.S. States as well as a few provinces. Displaced gas heat = recovered heat / 80% boiler efficiency.  You may enter the "all-in" average cost per KWH and 0 for the Demand charge or for a more accurate calculation enter the average cost per KWH and the demand cost per KW.  Rules and qualifications for the Federal CHP Tax Credit can be found at: https://www.epa.gov/chp/dchpp-chp-policies-and-incentives-database .  Life Cycle Cost analysis uses 1% Fuel and 1% Maintenance inflation rates per year.</t>
    </r>
  </si>
  <si>
    <t>Less than a 50 KW Engine is considered Micro-CHP</t>
  </si>
  <si>
    <t>eGrid Data (2018 Update, 2016 Data)</t>
  </si>
  <si>
    <r>
      <t>CO</t>
    </r>
    <r>
      <rPr>
        <vertAlign val="subscript"/>
        <sz val="11"/>
        <color theme="1"/>
        <rFont val="Calibri"/>
        <family val="2"/>
        <scheme val="minor"/>
      </rPr>
      <t>2</t>
    </r>
    <r>
      <rPr>
        <sz val="10"/>
        <rFont val="Arial"/>
        <family val="2"/>
      </rPr>
      <t xml:space="preserve"> Emissions</t>
    </r>
  </si>
  <si>
    <r>
      <t>SO</t>
    </r>
    <r>
      <rPr>
        <vertAlign val="subscript"/>
        <sz val="11"/>
        <color theme="1"/>
        <rFont val="Calibri"/>
        <family val="2"/>
        <scheme val="minor"/>
      </rPr>
      <t>X</t>
    </r>
    <r>
      <rPr>
        <sz val="10"/>
        <rFont val="Arial"/>
        <family val="2"/>
      </rPr>
      <t xml:space="preserve"> and NO</t>
    </r>
    <r>
      <rPr>
        <vertAlign val="subscript"/>
        <sz val="11"/>
        <color theme="1"/>
        <rFont val="Calibri"/>
        <family val="2"/>
        <scheme val="minor"/>
      </rPr>
      <t>X</t>
    </r>
    <r>
      <rPr>
        <sz val="10"/>
        <rFont val="Arial"/>
        <family val="2"/>
      </rPr>
      <t xml:space="preserve"> Emissions</t>
    </r>
  </si>
  <si>
    <t>eGRID US (2016), NIR and NPRI Canada (2011)</t>
  </si>
  <si>
    <t>Regions</t>
  </si>
  <si>
    <t>eGRID2018 year 2016 file state sequence number</t>
  </si>
  <si>
    <r>
      <t>CO</t>
    </r>
    <r>
      <rPr>
        <vertAlign val="subscript"/>
        <sz val="11"/>
        <color theme="1"/>
        <rFont val="Calibri"/>
        <family val="2"/>
        <scheme val="minor"/>
      </rPr>
      <t>2</t>
    </r>
    <r>
      <rPr>
        <sz val="10"/>
        <rFont val="Arial"/>
        <family val="2"/>
      </rPr>
      <t xml:space="preserve"> - g CO</t>
    </r>
    <r>
      <rPr>
        <vertAlign val="subscript"/>
        <sz val="11"/>
        <color theme="1"/>
        <rFont val="Calibri"/>
        <family val="2"/>
        <scheme val="minor"/>
      </rPr>
      <t>2</t>
    </r>
    <r>
      <rPr>
        <sz val="10"/>
        <rFont val="Arial"/>
        <family val="2"/>
      </rPr>
      <t xml:space="preserve"> eq/kWh</t>
    </r>
  </si>
  <si>
    <r>
      <t>CO</t>
    </r>
    <r>
      <rPr>
        <vertAlign val="subscript"/>
        <sz val="11"/>
        <color theme="1"/>
        <rFont val="Calibri"/>
        <family val="2"/>
        <scheme val="minor"/>
      </rPr>
      <t>2</t>
    </r>
    <r>
      <rPr>
        <sz val="10"/>
        <rFont val="Arial"/>
        <family val="2"/>
      </rPr>
      <t xml:space="preserve"> - lb CO</t>
    </r>
    <r>
      <rPr>
        <vertAlign val="subscript"/>
        <sz val="11"/>
        <color theme="1"/>
        <rFont val="Calibri"/>
        <family val="2"/>
        <scheme val="minor"/>
      </rPr>
      <t>2</t>
    </r>
    <r>
      <rPr>
        <sz val="10"/>
        <rFont val="Arial"/>
        <family val="2"/>
      </rPr>
      <t xml:space="preserve"> eq/MWh</t>
    </r>
  </si>
  <si>
    <r>
      <t>2011 CO</t>
    </r>
    <r>
      <rPr>
        <vertAlign val="subscript"/>
        <sz val="11"/>
        <color theme="1"/>
        <rFont val="Calibri"/>
        <family val="2"/>
        <scheme val="minor"/>
      </rPr>
      <t>2</t>
    </r>
    <r>
      <rPr>
        <sz val="10"/>
        <rFont val="Arial"/>
        <family val="2"/>
      </rPr>
      <t xml:space="preserve"> Emission Rate (lb/MWh)</t>
    </r>
    <r>
      <rPr>
        <vertAlign val="superscript"/>
        <sz val="11"/>
        <color theme="1"/>
        <rFont val="Calibri"/>
        <family val="2"/>
        <scheme val="minor"/>
      </rPr>
      <t>1</t>
    </r>
  </si>
  <si>
    <r>
      <t>2011 NO</t>
    </r>
    <r>
      <rPr>
        <vertAlign val="subscript"/>
        <sz val="11"/>
        <color theme="1"/>
        <rFont val="Calibri"/>
        <family val="2"/>
        <scheme val="minor"/>
      </rPr>
      <t>X</t>
    </r>
    <r>
      <rPr>
        <sz val="10"/>
        <rFont val="Arial"/>
        <family val="2"/>
      </rPr>
      <t xml:space="preserve"> Emission Rate (lb/MWh)</t>
    </r>
    <r>
      <rPr>
        <vertAlign val="superscript"/>
        <sz val="11"/>
        <color theme="1"/>
        <rFont val="Calibri"/>
        <family val="2"/>
        <scheme val="minor"/>
      </rPr>
      <t>2</t>
    </r>
  </si>
  <si>
    <r>
      <t>2011 SO</t>
    </r>
    <r>
      <rPr>
        <vertAlign val="subscript"/>
        <sz val="11"/>
        <color theme="1"/>
        <rFont val="Calibri"/>
        <family val="2"/>
        <scheme val="minor"/>
      </rPr>
      <t>2</t>
    </r>
    <r>
      <rPr>
        <sz val="10"/>
        <rFont val="Arial"/>
        <family val="2"/>
      </rPr>
      <t xml:space="preserve"> Emission Rate (lb/MWh)</t>
    </r>
    <r>
      <rPr>
        <vertAlign val="superscript"/>
        <sz val="11"/>
        <color theme="1"/>
        <rFont val="Calibri"/>
        <family val="2"/>
        <scheme val="minor"/>
      </rPr>
      <t>2,3</t>
    </r>
  </si>
  <si>
    <r>
      <t>CO</t>
    </r>
    <r>
      <rPr>
        <vertAlign val="subscript"/>
        <sz val="11"/>
        <color theme="1"/>
        <rFont val="Calibri"/>
        <family val="2"/>
        <scheme val="minor"/>
      </rPr>
      <t>2</t>
    </r>
    <r>
      <rPr>
        <sz val="10"/>
        <rFont val="Arial"/>
        <family val="2"/>
      </rPr>
      <t xml:space="preserve"> Emission Rate (lb/MWh)</t>
    </r>
  </si>
  <si>
    <r>
      <t>SO</t>
    </r>
    <r>
      <rPr>
        <vertAlign val="subscript"/>
        <sz val="11"/>
        <color theme="1"/>
        <rFont val="Calibri"/>
        <family val="2"/>
        <scheme val="minor"/>
      </rPr>
      <t>2</t>
    </r>
    <r>
      <rPr>
        <sz val="10"/>
        <rFont val="Arial"/>
        <family val="2"/>
      </rPr>
      <t xml:space="preserve"> Emission Rate (lb/MWh)</t>
    </r>
  </si>
  <si>
    <r>
      <t>NO</t>
    </r>
    <r>
      <rPr>
        <vertAlign val="subscript"/>
        <sz val="11"/>
        <color theme="1"/>
        <rFont val="Calibri"/>
        <family val="2"/>
        <scheme val="minor"/>
      </rPr>
      <t>X</t>
    </r>
    <r>
      <rPr>
        <sz val="10"/>
        <rFont val="Arial"/>
        <family val="2"/>
      </rPr>
      <t xml:space="preserve"> Emission Rate (lb/MWh)</t>
    </r>
  </si>
  <si>
    <r>
      <t>Emission Factor (lb/10</t>
    </r>
    <r>
      <rPr>
        <vertAlign val="superscript"/>
        <sz val="11"/>
        <color theme="1"/>
        <rFont val="Calibri"/>
        <family val="2"/>
        <scheme val="minor"/>
      </rPr>
      <t>6</t>
    </r>
    <r>
      <rPr>
        <sz val="10"/>
        <rFont val="Arial"/>
        <family val="2"/>
      </rPr>
      <t xml:space="preserve"> scf)</t>
    </r>
  </si>
  <si>
    <t>eGRID US Average All Sources 2016</t>
  </si>
  <si>
    <t>eGRID_US_Average_All_Sources_2016</t>
  </si>
  <si>
    <t>eGRID_US_Average_Fossil_2016</t>
  </si>
  <si>
    <t>eGrid_Subregions_Average_All_Sources_2016</t>
  </si>
  <si>
    <t>eGrid_Subregions_Average_Fossil_2016</t>
  </si>
  <si>
    <t>NERC_Average_All_Sources_2016</t>
  </si>
  <si>
    <t>NERC_Average_Fossil_2016</t>
  </si>
  <si>
    <t>Canadian_Average_All_Sources_2011</t>
  </si>
  <si>
    <t>eGRID US Average Fossil 2016</t>
  </si>
  <si>
    <t>ASCC Alaska Grid</t>
  </si>
  <si>
    <t>Alaska Systems Coordinating Council</t>
  </si>
  <si>
    <t>eGrid Subregions Average All Sources 2016</t>
  </si>
  <si>
    <t>ASCC Miscellaneous</t>
  </si>
  <si>
    <t>Florida Reliability Coordinating Council</t>
  </si>
  <si>
    <t>eGrid Subregions Average Fossil 2016</t>
  </si>
  <si>
    <t>ERCOT All</t>
  </si>
  <si>
    <t>Hawaiian Islands Coordinating Council</t>
  </si>
  <si>
    <t>NERC Average All Sources 2016</t>
  </si>
  <si>
    <t>FRCC All</t>
  </si>
  <si>
    <t>Midwest Reliability Organization</t>
  </si>
  <si>
    <t>NERC Average Fossil 2016</t>
  </si>
  <si>
    <t>HICC Miscellaneous</t>
  </si>
  <si>
    <t>No NERC region</t>
  </si>
  <si>
    <t>HICC Oahu</t>
  </si>
  <si>
    <t>Northeast Power Coordinating Council</t>
  </si>
  <si>
    <t>MRO East</t>
  </si>
  <si>
    <t>Reliability First Corporation</t>
  </si>
  <si>
    <t>MRO West</t>
  </si>
  <si>
    <t>SERC Reliability Corporation</t>
  </si>
  <si>
    <t>NPCC Long Island</t>
  </si>
  <si>
    <t>Southwest Power Pool</t>
  </si>
  <si>
    <t>NPCC New England</t>
  </si>
  <si>
    <t>Texas Regional Entity</t>
  </si>
  <si>
    <t>NPCC NYC/Westchester</t>
  </si>
  <si>
    <t>Western Electricity Coordinating Council</t>
  </si>
  <si>
    <t>NPCC Upstate NY</t>
  </si>
  <si>
    <r>
      <rPr>
        <vertAlign val="superscript"/>
        <sz val="11"/>
        <color theme="1"/>
        <rFont val="Calibri"/>
        <family val="2"/>
        <scheme val="minor"/>
      </rPr>
      <t>1</t>
    </r>
    <r>
      <rPr>
        <sz val="10"/>
        <rFont val="Arial"/>
        <family val="2"/>
      </rPr>
      <t xml:space="preserve"> 2011 CO2 Emission Rate taken from National Inventory Report, Greenhouse Gas Sources and Sinks in Canada 1990-2011, Environment Canada, Part 3. Generation Intensity (g CO2 eq / kWh)</t>
    </r>
  </si>
  <si>
    <t>RFC East</t>
  </si>
  <si>
    <r>
      <rPr>
        <vertAlign val="superscript"/>
        <sz val="11"/>
        <color theme="1"/>
        <rFont val="Calibri"/>
        <family val="2"/>
        <scheme val="minor"/>
      </rPr>
      <t>1</t>
    </r>
    <r>
      <rPr>
        <sz val="10"/>
        <rFont val="Arial"/>
        <family val="2"/>
      </rPr>
      <t xml:space="preserve"> Losses include transmission line losses, metering differences, and other losses</t>
    </r>
  </si>
  <si>
    <r>
      <rPr>
        <vertAlign val="superscript"/>
        <sz val="11"/>
        <color theme="1"/>
        <rFont val="Calibri"/>
        <family val="2"/>
        <scheme val="minor"/>
      </rPr>
      <t xml:space="preserve">2 </t>
    </r>
    <r>
      <rPr>
        <sz val="10"/>
        <rFont val="Arial"/>
        <family val="2"/>
      </rPr>
      <t>NOX and SOX Emissions taken from National Pollutant Release Inventory (NPRI) Downloadable Datasets, 2011 Air Pollutant Emission Summaries and Trends. 2011 Emissions from Electric Power Generation (Utilities)</t>
    </r>
  </si>
  <si>
    <t>RFC Michigan</t>
  </si>
  <si>
    <t>RFC West</t>
  </si>
  <si>
    <t>Region</t>
  </si>
  <si>
    <r>
      <rPr>
        <vertAlign val="superscript"/>
        <sz val="11"/>
        <color theme="1"/>
        <rFont val="Calibri"/>
        <family val="2"/>
        <scheme val="minor"/>
      </rPr>
      <t xml:space="preserve">3 </t>
    </r>
    <r>
      <rPr>
        <sz val="10"/>
        <rFont val="Arial"/>
        <family val="2"/>
      </rPr>
      <t>SOX emissions used to estimate SO2 emissions</t>
    </r>
  </si>
  <si>
    <t>SERC Midwest</t>
  </si>
  <si>
    <t>SERC Mississippi Valley</t>
  </si>
  <si>
    <t>SERC South</t>
  </si>
  <si>
    <t>SERC Tennessee Valley</t>
  </si>
  <si>
    <t>SERC Virginia/Carolina</t>
  </si>
  <si>
    <t>SPP North</t>
  </si>
  <si>
    <t>SPP South</t>
  </si>
  <si>
    <t>WECC California</t>
  </si>
  <si>
    <t>WECC Northwest</t>
  </si>
  <si>
    <t>WECC Rockies</t>
  </si>
  <si>
    <t>WECC Southwest</t>
  </si>
  <si>
    <t>eGRID2018 Version 1.0, 2016 Data</t>
  </si>
  <si>
    <t>https://www.epa.gov/energy/emissions-generation-resource-integrated-database-egrid</t>
  </si>
  <si>
    <r>
      <t>Electricity CO</t>
    </r>
    <r>
      <rPr>
        <vertAlign val="subscript"/>
        <sz val="11"/>
        <color theme="1"/>
        <rFont val="Calibri"/>
        <family val="2"/>
        <scheme val="minor"/>
      </rPr>
      <t>2</t>
    </r>
    <r>
      <rPr>
        <sz val="10"/>
        <rFont val="Arial"/>
        <family val="2"/>
      </rPr>
      <t xml:space="preserve"> Emission Rate</t>
    </r>
  </si>
  <si>
    <r>
      <t>Electricity SO</t>
    </r>
    <r>
      <rPr>
        <vertAlign val="subscript"/>
        <sz val="11"/>
        <color theme="1"/>
        <rFont val="Calibri"/>
        <family val="2"/>
        <scheme val="minor"/>
      </rPr>
      <t>2</t>
    </r>
    <r>
      <rPr>
        <sz val="10"/>
        <rFont val="Arial"/>
        <family val="2"/>
      </rPr>
      <t xml:space="preserve"> Emission Rate</t>
    </r>
  </si>
  <si>
    <r>
      <t>Electricity NO</t>
    </r>
    <r>
      <rPr>
        <vertAlign val="subscript"/>
        <sz val="11"/>
        <color theme="1"/>
        <rFont val="Calibri"/>
        <family val="2"/>
        <scheme val="minor"/>
      </rPr>
      <t>X</t>
    </r>
    <r>
      <rPr>
        <sz val="10"/>
        <rFont val="Arial"/>
        <family val="2"/>
      </rPr>
      <t xml:space="preserve"> Emission Rate</t>
    </r>
  </si>
  <si>
    <r>
      <t>Natural Gas CO</t>
    </r>
    <r>
      <rPr>
        <vertAlign val="subscript"/>
        <sz val="11"/>
        <color theme="1"/>
        <rFont val="Calibri"/>
        <family val="2"/>
        <scheme val="minor"/>
      </rPr>
      <t>2</t>
    </r>
    <r>
      <rPr>
        <sz val="10"/>
        <rFont val="Arial"/>
        <family val="2"/>
      </rPr>
      <t xml:space="preserve"> Emission Rate</t>
    </r>
  </si>
  <si>
    <r>
      <t>Natural Gas SO</t>
    </r>
    <r>
      <rPr>
        <vertAlign val="subscript"/>
        <sz val="11"/>
        <color theme="1"/>
        <rFont val="Calibri"/>
        <family val="2"/>
        <scheme val="minor"/>
      </rPr>
      <t>2</t>
    </r>
    <r>
      <rPr>
        <sz val="10"/>
        <rFont val="Arial"/>
        <family val="2"/>
      </rPr>
      <t xml:space="preserve"> Emission Rate</t>
    </r>
  </si>
  <si>
    <r>
      <t>Natural Gas NO</t>
    </r>
    <r>
      <rPr>
        <vertAlign val="subscript"/>
        <sz val="11"/>
        <color theme="1"/>
        <rFont val="Calibri"/>
        <family val="2"/>
        <scheme val="minor"/>
      </rPr>
      <t>X</t>
    </r>
    <r>
      <rPr>
        <sz val="10"/>
        <rFont val="Arial"/>
        <family val="2"/>
      </rPr>
      <t xml:space="preserve"> Emission Rate</t>
    </r>
  </si>
  <si>
    <r>
      <t>Propane CO</t>
    </r>
    <r>
      <rPr>
        <vertAlign val="subscript"/>
        <sz val="11"/>
        <color theme="1"/>
        <rFont val="Calibri"/>
        <family val="2"/>
        <scheme val="minor"/>
      </rPr>
      <t>2</t>
    </r>
    <r>
      <rPr>
        <sz val="10"/>
        <rFont val="Arial"/>
        <family val="2"/>
      </rPr>
      <t xml:space="preserve"> Emission Rate</t>
    </r>
  </si>
  <si>
    <r>
      <t>lb/10</t>
    </r>
    <r>
      <rPr>
        <vertAlign val="superscript"/>
        <sz val="11"/>
        <color theme="1"/>
        <rFont val="Calibri"/>
        <family val="2"/>
        <scheme val="minor"/>
      </rPr>
      <t>3</t>
    </r>
    <r>
      <rPr>
        <sz val="10"/>
        <rFont val="Arial"/>
        <family val="2"/>
      </rPr>
      <t xml:space="preserve"> gal</t>
    </r>
  </si>
  <si>
    <r>
      <t>Propane SO</t>
    </r>
    <r>
      <rPr>
        <vertAlign val="subscript"/>
        <sz val="11"/>
        <color theme="1"/>
        <rFont val="Calibri"/>
        <family val="2"/>
        <scheme val="minor"/>
      </rPr>
      <t>2</t>
    </r>
    <r>
      <rPr>
        <sz val="10"/>
        <rFont val="Arial"/>
        <family val="2"/>
      </rPr>
      <t xml:space="preserve"> Emission Rate</t>
    </r>
  </si>
  <si>
    <r>
      <t>Propane NO</t>
    </r>
    <r>
      <rPr>
        <vertAlign val="subscript"/>
        <sz val="11"/>
        <color theme="1"/>
        <rFont val="Calibri"/>
        <family val="2"/>
        <scheme val="minor"/>
      </rPr>
      <t>X</t>
    </r>
    <r>
      <rPr>
        <sz val="10"/>
        <rFont val="Arial"/>
        <family val="2"/>
      </rPr>
      <t xml:space="preserve"> Emission Rate</t>
    </r>
  </si>
  <si>
    <r>
      <t>Heating Oil CO</t>
    </r>
    <r>
      <rPr>
        <vertAlign val="subscript"/>
        <sz val="11"/>
        <color theme="1"/>
        <rFont val="Calibri"/>
        <family val="2"/>
        <scheme val="minor"/>
      </rPr>
      <t>2</t>
    </r>
    <r>
      <rPr>
        <sz val="10"/>
        <rFont val="Arial"/>
        <family val="2"/>
      </rPr>
      <t xml:space="preserve"> Emission Rate</t>
    </r>
  </si>
  <si>
    <r>
      <t>Heating Oil SO</t>
    </r>
    <r>
      <rPr>
        <vertAlign val="subscript"/>
        <sz val="11"/>
        <color theme="1"/>
        <rFont val="Calibri"/>
        <family val="2"/>
        <scheme val="minor"/>
      </rPr>
      <t>2</t>
    </r>
    <r>
      <rPr>
        <sz val="10"/>
        <rFont val="Arial"/>
        <family val="2"/>
      </rPr>
      <t xml:space="preserve"> Emission Rate</t>
    </r>
  </si>
  <si>
    <r>
      <t>Heating Oil NO</t>
    </r>
    <r>
      <rPr>
        <vertAlign val="subscript"/>
        <sz val="11"/>
        <color theme="1"/>
        <rFont val="Calibri"/>
        <family val="2"/>
        <scheme val="minor"/>
      </rPr>
      <t>X</t>
    </r>
    <r>
      <rPr>
        <sz val="10"/>
        <rFont val="Arial"/>
        <family val="2"/>
      </rPr>
      <t xml:space="preserve"> Emission Rate</t>
    </r>
  </si>
  <si>
    <t>ASCC Alaska Grid_Fossil</t>
  </si>
  <si>
    <t>ASCC Miscellaneous_Fossil</t>
  </si>
  <si>
    <t>WECC Southwest_Fossil</t>
  </si>
  <si>
    <t>WECC California_Fossil</t>
  </si>
  <si>
    <t>ERCOT All_Fossil</t>
  </si>
  <si>
    <t>FRCC All_Fossil</t>
  </si>
  <si>
    <t>HICC Miscellaneous_Fossil</t>
  </si>
  <si>
    <t>HICC Oahu_Fossil</t>
  </si>
  <si>
    <t>MRO East_Fossil</t>
  </si>
  <si>
    <t>MRO West_Fossil</t>
  </si>
  <si>
    <t>NPCC New England_Fossil</t>
  </si>
  <si>
    <t>WECC Northwest_Fossil</t>
  </si>
  <si>
    <t>NPCC NYC/Westchester_Fossil</t>
  </si>
  <si>
    <t>NPCC Long Island_Fossil</t>
  </si>
  <si>
    <t>NPCC Upstate NY_Fossil</t>
  </si>
  <si>
    <t>RFC East_Fossil</t>
  </si>
  <si>
    <t>RFC Michigan_Fossil</t>
  </si>
  <si>
    <t>RFC West_Fossil</t>
  </si>
  <si>
    <t>WECC Rockies_Fossil</t>
  </si>
  <si>
    <t>SPP North_Fossil</t>
  </si>
  <si>
    <t>SPP South_Fossil</t>
  </si>
  <si>
    <t>SERC Mississippi Valley_Fossil</t>
  </si>
  <si>
    <t>SERC Midwest_Fossil</t>
  </si>
  <si>
    <t>SERC South_Fossil</t>
  </si>
  <si>
    <t>Map of NERC Regions</t>
  </si>
  <si>
    <t>SERC Tennessee Valley_Fossil</t>
  </si>
  <si>
    <t>SERC Virginia/Carolina_Fossil</t>
  </si>
  <si>
    <t>Alaska Systems Coordinating Council_Fossil</t>
  </si>
  <si>
    <t>Florida Reliability Coordinating Council_Fossil</t>
  </si>
  <si>
    <t>Hawaiian Islands Coordinating Council_Fossil</t>
  </si>
  <si>
    <t>Midwest Reliability Organization_Fossil</t>
  </si>
  <si>
    <t>No NERC region_Fossil</t>
  </si>
  <si>
    <t>Northeast Power Coordinating Council_Fossil</t>
  </si>
  <si>
    <t>Reliability First Corporation_Fossil</t>
  </si>
  <si>
    <t>SERC Reliability Corporation_Fossil</t>
  </si>
  <si>
    <t>Southwest Power Pool_Fossil</t>
  </si>
  <si>
    <t>Texas Regional Entity_Fossil</t>
  </si>
  <si>
    <t>Western Electricity Coordinating Council_Fossil</t>
  </si>
  <si>
    <t>** update cels F25 and E26 for notes on marginal mix</t>
  </si>
  <si>
    <t xml:space="preserve">            and state/province/region</t>
  </si>
  <si>
    <t>No used:</t>
  </si>
  <si>
    <r>
      <t xml:space="preserve">  8.  </t>
    </r>
    <r>
      <rPr>
        <b/>
        <sz val="10"/>
        <rFont val="Arial"/>
        <family val="2"/>
      </rPr>
      <t>Ave. Electric Usage Rate ($/KWH)</t>
    </r>
  </si>
  <si>
    <r>
      <rPr>
        <b/>
        <sz val="10"/>
        <color rgb="FFFF0000"/>
        <rFont val="Arial"/>
        <family val="2"/>
      </rPr>
      <t xml:space="preserve">     9.  </t>
    </r>
    <r>
      <rPr>
        <b/>
        <sz val="10"/>
        <rFont val="Arial"/>
        <family val="2"/>
      </rPr>
      <t>Electric Demand Charge ($/KW)</t>
    </r>
  </si>
  <si>
    <r>
      <rPr>
        <b/>
        <sz val="10"/>
        <color rgb="FFFF0000"/>
        <rFont val="Arial"/>
        <family val="2"/>
      </rPr>
      <t xml:space="preserve">7.  </t>
    </r>
    <r>
      <rPr>
        <b/>
        <sz val="10"/>
        <rFont val="Arial"/>
        <family val="2"/>
      </rPr>
      <t>CHP Incentive ($)</t>
    </r>
  </si>
  <si>
    <r>
      <rPr>
        <b/>
        <sz val="10"/>
        <color rgb="FFFF0000"/>
        <rFont val="Arial"/>
        <family val="2"/>
      </rPr>
      <t xml:space="preserve">    10.  </t>
    </r>
    <r>
      <rPr>
        <b/>
        <sz val="10"/>
        <rFont val="Arial"/>
        <family val="2"/>
      </rPr>
      <t>Ave. Natural Gas Rate ($/MMBTU)</t>
    </r>
  </si>
  <si>
    <r>
      <rPr>
        <b/>
        <sz val="10"/>
        <color rgb="FFFF0000"/>
        <rFont val="Arial"/>
        <family val="2"/>
      </rPr>
      <t xml:space="preserve">    11.  </t>
    </r>
    <r>
      <rPr>
        <b/>
        <sz val="10"/>
        <rFont val="Arial"/>
        <family val="2"/>
      </rPr>
      <t>Gas Rate for CHP ($/MMBTU)</t>
    </r>
  </si>
  <si>
    <r>
      <t xml:space="preserve">  </t>
    </r>
    <r>
      <rPr>
        <b/>
        <sz val="10"/>
        <color rgb="FFFF0000"/>
        <rFont val="Arial"/>
        <family val="2"/>
      </rPr>
      <t xml:space="preserve">  12.  </t>
    </r>
    <r>
      <rPr>
        <b/>
        <sz val="10"/>
        <rFont val="Arial"/>
        <family val="2"/>
      </rPr>
      <t>Please select Emissions Profile</t>
    </r>
  </si>
  <si>
    <t>e-GRID Sub-Region Map</t>
  </si>
  <si>
    <t>US Average Fossil</t>
  </si>
  <si>
    <t>US_Average_All_Sources</t>
  </si>
  <si>
    <t>US_Average_Fossil</t>
  </si>
  <si>
    <t>eGrid Subregions Average Fossil</t>
  </si>
  <si>
    <t>Canadian Average All Sources</t>
  </si>
  <si>
    <t>eGrid_Subregions_Average_Fossil</t>
  </si>
  <si>
    <t>NERC_Average_All_Sources</t>
  </si>
  <si>
    <t>NERC_Average_Fossil</t>
  </si>
  <si>
    <t>Canadian_Average_All_Sources</t>
  </si>
  <si>
    <t>eGRID US Average All Sources</t>
  </si>
  <si>
    <t>NERC Average All Sources</t>
  </si>
  <si>
    <t>NERC Average Fossil</t>
  </si>
  <si>
    <t>eGrid Subregions Ave All Sources</t>
  </si>
  <si>
    <t>eGrid_Subregions_Ave_All_Sources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</si>
</sst>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000_);_(* \(#,##0.0000\);_(* &quot;-&quot;??_);_(@_)"/>
    <numFmt numFmtId="168" formatCode="_(&quot;$&quot;* #,##0.0000_);_(&quot;$&quot;* \(#,##0.0000\);_(&quot;$&quot;* &quot;-&quot;??_);_(@_)"/>
    <numFmt numFmtId="169" formatCode="_(* #,##0.000_);_(* \(#,##0.000\);_(* &quot;-&quot;??_);_(@_)"/>
    <numFmt numFmtId="170" formatCode="_(* #,##0.00000_);_(* \(#,##0.00000\);_(* &quot;-&quot;??_);_(@_)"/>
    <numFmt numFmtId="171" formatCode="0.000"/>
    <numFmt numFmtId="172" formatCode="0.0000"/>
    <numFmt numFmtId="173" formatCode="#,##0.0000"/>
    <numFmt numFmtId="174" formatCode="_(&quot;$&quot;* #,##0.000_);_(&quot;$&quot;* \(#,##0.000\);_(&quot;$&quot;* &quot;-&quot;??_);_(@_)"/>
    <numFmt numFmtId="175" formatCode="#,##0.0"/>
    <numFmt numFmtId="176" formatCode="#,##0.00000"/>
    <numFmt numFmtId="177" formatCode="&quot;$&quot;#,##0.0000"/>
    <numFmt numFmtId="178" formatCode="0.0"/>
    <numFmt numFmtId="179" formatCode="&quot;$&quot;#,##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rgb="FF00B0F0"/>
      <name val="Arial"/>
      <family val="2"/>
    </font>
    <font>
      <sz val="10"/>
      <color theme="0" tint="-0.249977111117893"/>
      <name val="Arial"/>
      <family val="2"/>
    </font>
    <font>
      <b/>
      <sz val="14"/>
      <name val="Arial"/>
      <family val="2"/>
    </font>
    <font>
      <sz val="10"/>
      <color rgb="FFFF0000"/>
      <name val="Arial"/>
      <family val="2"/>
    </font>
    <font>
      <b/>
      <sz val="10"/>
      <color rgb="FFFF0000"/>
      <name val="Arial"/>
      <family val="2"/>
    </font>
    <font>
      <sz val="10"/>
      <color theme="1"/>
      <name val="Arial"/>
      <family val="2"/>
    </font>
    <font>
      <i/>
      <sz val="10"/>
      <color rgb="FFFF0000"/>
      <name val="Arial"/>
      <family val="2"/>
    </font>
    <font>
      <sz val="8"/>
      <name val="Arial"/>
      <family val="2"/>
    </font>
    <font>
      <sz val="10"/>
      <color theme="0"/>
      <name val="Arial"/>
      <family val="2"/>
    </font>
    <font>
      <b/>
      <sz val="10"/>
      <color theme="0" tint="-0.249977111117893"/>
      <name val="Arial"/>
      <family val="2"/>
    </font>
    <font>
      <sz val="9"/>
      <name val="Arial"/>
      <family val="2"/>
    </font>
    <font>
      <b/>
      <sz val="10"/>
      <color rgb="FF333333"/>
      <name val="Arial"/>
      <family val="2"/>
    </font>
    <font>
      <b/>
      <i/>
      <sz val="8"/>
      <name val="Calibri"/>
      <family val="2"/>
      <scheme val="minor"/>
    </font>
    <font>
      <b/>
      <sz val="10"/>
      <color rgb="FF0070C0"/>
      <name val="Arial"/>
      <family val="2"/>
    </font>
    <font>
      <sz val="10"/>
      <color theme="0" tint="-0.249977111117893"/>
      <name val="Calibri"/>
      <family val="2"/>
      <scheme val="minor"/>
    </font>
    <font>
      <b/>
      <sz val="10"/>
      <color theme="0" tint="-0.249977111117893"/>
      <name val="Calibri"/>
      <family val="2"/>
      <scheme val="minor"/>
    </font>
    <font>
      <b/>
      <sz val="12"/>
      <color rgb="FF00B0F0"/>
      <name val="Arial"/>
      <family val="2"/>
    </font>
    <font>
      <sz val="11"/>
      <color theme="0" tint="-0.249977111117893"/>
      <name val="Calibri"/>
      <family val="2"/>
    </font>
    <font>
      <u/>
      <sz val="10"/>
      <color theme="10"/>
      <name val="Arial"/>
      <family val="2"/>
    </font>
    <font>
      <i/>
      <sz val="10"/>
      <name val="Arial"/>
      <family val="2"/>
    </font>
    <font>
      <sz val="11"/>
      <color rgb="FFFF0000"/>
      <name val="Calibri"/>
      <family val="2"/>
      <scheme val="minor"/>
    </font>
    <font>
      <b/>
      <sz val="11"/>
      <color theme="1"/>
      <name val="Calibri"/>
      <family val="2"/>
      <scheme val="minor"/>
    </font>
    <font>
      <sz val="11"/>
      <color theme="0" tint="-0.34998626667073579"/>
      <name val="Calibri"/>
      <family val="2"/>
      <scheme val="minor"/>
    </font>
    <font>
      <b/>
      <sz val="11"/>
      <color theme="0" tint="-0.34998626667073579"/>
      <name val="Calibri"/>
      <family val="2"/>
      <scheme val="minor"/>
    </font>
    <font>
      <b/>
      <sz val="11"/>
      <color rgb="FFFF0000"/>
      <name val="Calibri"/>
      <family val="2"/>
      <scheme val="minor"/>
    </font>
    <font>
      <b/>
      <sz val="14"/>
      <color theme="1"/>
      <name val="Calibri"/>
      <family val="2"/>
      <scheme val="minor"/>
    </font>
    <font>
      <sz val="28"/>
      <color theme="1"/>
      <name val="Calibri"/>
      <family val="2"/>
      <scheme val="minor"/>
    </font>
    <font>
      <u/>
      <sz val="11"/>
      <color theme="10"/>
      <name val="Calibri"/>
      <family val="2"/>
      <scheme val="minor"/>
    </font>
    <font>
      <i/>
      <sz val="10"/>
      <color theme="1"/>
      <name val="Arial"/>
      <family val="2"/>
    </font>
    <font>
      <sz val="10"/>
      <color rgb="FFBFBFBF"/>
      <name val="Arial"/>
      <family val="2"/>
    </font>
    <font>
      <sz val="7"/>
      <name val="Arial"/>
      <family val="2"/>
    </font>
    <font>
      <b/>
      <sz val="8"/>
      <name val="Arial"/>
      <family val="2"/>
    </font>
    <font>
      <sz val="10"/>
      <color rgb="FF92D050"/>
      <name val="Arial"/>
      <family val="2"/>
    </font>
    <font>
      <b/>
      <sz val="22"/>
      <color theme="1"/>
      <name val="Calibri"/>
      <family val="2"/>
      <scheme val="minor"/>
    </font>
    <font>
      <b/>
      <sz val="12"/>
      <color theme="1"/>
      <name val="Calibri"/>
      <family val="2"/>
      <scheme val="minor"/>
    </font>
    <font>
      <vertAlign val="subscript"/>
      <sz val="11"/>
      <color theme="1"/>
      <name val="Calibri"/>
      <family val="2"/>
      <scheme val="minor"/>
    </font>
    <font>
      <sz val="11"/>
      <name val="Calibri"/>
      <family val="2"/>
      <scheme val="minor"/>
    </font>
    <font>
      <vertAlign val="subscript"/>
      <sz val="11"/>
      <name val="Calibri"/>
      <family val="2"/>
      <scheme val="minor"/>
    </font>
    <font>
      <vertAlign val="superscript"/>
      <sz val="11"/>
      <name val="Calibri"/>
      <family val="2"/>
      <scheme val="minor"/>
    </font>
    <font>
      <vertAlign val="superscript"/>
      <sz val="11"/>
      <color theme="1"/>
      <name val="Calibri"/>
      <family val="2"/>
      <scheme val="minor"/>
    </font>
    <font>
      <b/>
      <i/>
      <u/>
      <sz val="14"/>
      <color theme="1"/>
      <name val="Calibri"/>
      <family val="2"/>
      <scheme val="minor"/>
    </font>
    <font>
      <sz val="9"/>
      <color theme="1"/>
      <name val="Calibri"/>
      <family val="2"/>
      <scheme val="minor"/>
    </font>
    <font>
      <b/>
      <i/>
      <sz val="11"/>
      <color rgb="FFFF0000"/>
      <name val="Calibri"/>
      <family val="2"/>
      <scheme val="minor"/>
    </font>
    <font>
      <b/>
      <vertAlign val="subscript"/>
      <sz val="11"/>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vertAlign val="subscript"/>
      <sz val="10"/>
      <color theme="1"/>
      <name val="Calibri"/>
      <family val="2"/>
      <scheme val="minor"/>
    </font>
    <font>
      <vertAlign val="superscript"/>
      <sz val="10"/>
      <color theme="1"/>
      <name val="Calibri"/>
      <family val="2"/>
      <scheme val="minor"/>
    </font>
    <font>
      <sz val="11"/>
      <color rgb="FF1F497D"/>
      <name val="Calibri"/>
      <family val="2"/>
    </font>
    <font>
      <sz val="8"/>
      <color rgb="FF0070C0"/>
      <name val="Arial"/>
      <family val="2"/>
    </font>
    <font>
      <sz val="11"/>
      <color theme="0" tint="-0.249977111117893"/>
      <name val="Calibri"/>
      <family val="2"/>
      <scheme val="minor"/>
    </font>
    <font>
      <b/>
      <sz val="12"/>
      <color indexed="12"/>
      <name val="Arial"/>
      <family val="2"/>
    </font>
    <font>
      <b/>
      <sz val="10"/>
      <color theme="0"/>
      <name val="Arial"/>
      <family val="2"/>
    </font>
    <font>
      <b/>
      <u/>
      <sz val="10"/>
      <name val="Arial"/>
      <family val="2"/>
    </font>
    <font>
      <i/>
      <sz val="9"/>
      <name val="Arial"/>
      <family val="2"/>
    </font>
    <font>
      <sz val="8"/>
      <color theme="1"/>
      <name val="Arial"/>
      <family val="2"/>
    </font>
    <font>
      <sz val="11"/>
      <color rgb="FFB8CCE4"/>
      <name val="Calibri"/>
      <family val="2"/>
      <scheme val="minor"/>
    </font>
    <font>
      <sz val="11"/>
      <color rgb="FF000000"/>
      <name val="Calibri"/>
      <family val="2"/>
    </font>
    <font>
      <sz val="9"/>
      <color theme="1"/>
      <name val="Arial"/>
      <family val="2"/>
    </font>
    <font>
      <u/>
      <sz val="8"/>
      <color theme="10"/>
      <name val="Arial"/>
      <family val="2"/>
    </font>
  </fonts>
  <fills count="10">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9FF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theme="0"/>
      </bottom>
      <diagonal/>
    </border>
  </borders>
  <cellStyleXfs count="26">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7" fillId="0" borderId="0"/>
    <xf numFmtId="9"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7" fillId="0" borderId="0" applyNumberFormat="0" applyFill="0" applyBorder="0" applyAlignment="0" applyProtection="0"/>
    <xf numFmtId="0" fontId="7" fillId="0" borderId="0"/>
    <xf numFmtId="0" fontId="6"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7" fillId="0" borderId="0"/>
  </cellStyleXfs>
  <cellXfs count="824">
    <xf numFmtId="0" fontId="0" fillId="0" borderId="0" xfId="0"/>
    <xf numFmtId="0" fontId="8" fillId="0" borderId="0" xfId="0" applyFont="1"/>
    <xf numFmtId="0" fontId="0" fillId="0" borderId="2" xfId="0" applyBorder="1"/>
    <xf numFmtId="0" fontId="0" fillId="0" borderId="7" xfId="0" applyBorder="1"/>
    <xf numFmtId="0" fontId="0" fillId="0" borderId="0" xfId="0" applyBorder="1"/>
    <xf numFmtId="0" fontId="0" fillId="0" borderId="0" xfId="0" applyFill="1" applyBorder="1"/>
    <xf numFmtId="164" fontId="8" fillId="0" borderId="0" xfId="0" applyNumberFormat="1" applyFont="1" applyFill="1" applyBorder="1" applyAlignment="1">
      <alignment horizontal="right"/>
    </xf>
    <xf numFmtId="44" fontId="8" fillId="0" borderId="0" xfId="0" applyNumberFormat="1" applyFont="1" applyFill="1" applyBorder="1"/>
    <xf numFmtId="44" fontId="0" fillId="0" borderId="0" xfId="0" applyNumberFormat="1" applyFill="1" applyBorder="1"/>
    <xf numFmtId="164" fontId="0" fillId="0" borderId="0" xfId="2" applyNumberFormat="1" applyFont="1" applyFill="1" applyBorder="1" applyAlignment="1">
      <alignment horizontal="center"/>
    </xf>
    <xf numFmtId="44" fontId="0" fillId="0" borderId="0" xfId="2" applyFont="1" applyFill="1" applyBorder="1" applyAlignment="1">
      <alignment horizontal="center"/>
    </xf>
    <xf numFmtId="0" fontId="0" fillId="0" borderId="0" xfId="0" applyFill="1" applyBorder="1" applyAlignment="1">
      <alignment horizontal="right"/>
    </xf>
    <xf numFmtId="44" fontId="0" fillId="0" borderId="0" xfId="0" applyNumberFormat="1" applyFill="1" applyBorder="1" applyAlignment="1">
      <alignment horizontal="right"/>
    </xf>
    <xf numFmtId="1" fontId="0" fillId="0" borderId="0" xfId="0" applyNumberFormat="1" applyFill="1" applyBorder="1" applyAlignment="1">
      <alignment horizontal="right"/>
    </xf>
    <xf numFmtId="164" fontId="0" fillId="0" borderId="0" xfId="0" applyNumberFormat="1" applyFill="1" applyBorder="1"/>
    <xf numFmtId="43" fontId="0" fillId="0" borderId="0" xfId="0" applyNumberFormat="1" applyFill="1" applyBorder="1"/>
    <xf numFmtId="0" fontId="9" fillId="0" borderId="0" xfId="0" applyFont="1" applyFill="1" applyBorder="1"/>
    <xf numFmtId="0" fontId="8" fillId="0" borderId="0" xfId="0" applyFont="1" applyFill="1" applyBorder="1"/>
    <xf numFmtId="0" fontId="7" fillId="0" borderId="0" xfId="0" applyFont="1" applyFill="1" applyBorder="1"/>
    <xf numFmtId="0" fontId="7" fillId="0" borderId="7" xfId="0" applyFont="1" applyBorder="1"/>
    <xf numFmtId="0" fontId="8" fillId="0" borderId="0" xfId="0" applyFont="1" applyFill="1" applyBorder="1" applyAlignment="1"/>
    <xf numFmtId="164" fontId="8" fillId="0" borderId="0" xfId="2" applyNumberFormat="1" applyFont="1" applyFill="1" applyBorder="1" applyAlignment="1">
      <alignment horizontal="center"/>
    </xf>
    <xf numFmtId="44" fontId="0" fillId="0" borderId="0" xfId="2" applyFont="1" applyFill="1" applyBorder="1" applyAlignment="1">
      <alignment horizontal="right"/>
    </xf>
    <xf numFmtId="164" fontId="0" fillId="0" borderId="0" xfId="2" applyNumberFormat="1" applyFont="1" applyFill="1" applyBorder="1" applyAlignment="1">
      <alignment horizontal="right"/>
    </xf>
    <xf numFmtId="164" fontId="8" fillId="0" borderId="0" xfId="2" applyNumberFormat="1" applyFont="1" applyFill="1" applyBorder="1" applyAlignment="1">
      <alignment horizontal="right"/>
    </xf>
    <xf numFmtId="165" fontId="0" fillId="0" borderId="0" xfId="1" applyNumberFormat="1" applyFont="1" applyFill="1" applyBorder="1" applyAlignment="1">
      <alignment horizontal="right"/>
    </xf>
    <xf numFmtId="164" fontId="8" fillId="0" borderId="0" xfId="0" applyNumberFormat="1" applyFont="1" applyFill="1" applyBorder="1"/>
    <xf numFmtId="1" fontId="7" fillId="0" borderId="0" xfId="0" applyNumberFormat="1" applyFont="1" applyFill="1" applyBorder="1" applyAlignment="1">
      <alignment horizontal="right"/>
    </xf>
    <xf numFmtId="43" fontId="9" fillId="0" borderId="0" xfId="1" applyFont="1" applyFill="1" applyBorder="1"/>
    <xf numFmtId="0" fontId="0" fillId="0" borderId="5" xfId="0" applyBorder="1"/>
    <xf numFmtId="0" fontId="0" fillId="0" borderId="9" xfId="0" applyBorder="1"/>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0" fillId="0" borderId="16" xfId="0" applyBorder="1"/>
    <xf numFmtId="0" fontId="7" fillId="0" borderId="0" xfId="0" applyFont="1"/>
    <xf numFmtId="0" fontId="10" fillId="0" borderId="9" xfId="0" applyFont="1" applyBorder="1"/>
    <xf numFmtId="0" fontId="7" fillId="0" borderId="0" xfId="0" applyFont="1" applyBorder="1"/>
    <xf numFmtId="0" fontId="10" fillId="0" borderId="0" xfId="0" applyFont="1" applyBorder="1"/>
    <xf numFmtId="0" fontId="10" fillId="0" borderId="7" xfId="0" applyFont="1" applyBorder="1"/>
    <xf numFmtId="0" fontId="10" fillId="0" borderId="8" xfId="0" applyFont="1" applyBorder="1"/>
    <xf numFmtId="0" fontId="7" fillId="0" borderId="3" xfId="0" applyFont="1" applyBorder="1"/>
    <xf numFmtId="10" fontId="10" fillId="0" borderId="0" xfId="0" applyNumberFormat="1" applyFont="1" applyBorder="1"/>
    <xf numFmtId="0" fontId="10" fillId="0" borderId="7" xfId="0" applyFont="1" applyFill="1" applyBorder="1"/>
    <xf numFmtId="10" fontId="10" fillId="0" borderId="8" xfId="0" applyNumberFormat="1" applyFont="1" applyBorder="1"/>
    <xf numFmtId="3" fontId="7" fillId="0" borderId="0" xfId="0" applyNumberFormat="1" applyFont="1" applyBorder="1"/>
    <xf numFmtId="10" fontId="7" fillId="0" borderId="0" xfId="0" applyNumberFormat="1" applyFont="1" applyBorder="1"/>
    <xf numFmtId="3" fontId="11" fillId="0" borderId="0" xfId="0" applyNumberFormat="1" applyFont="1" applyBorder="1"/>
    <xf numFmtId="0" fontId="11" fillId="0" borderId="0" xfId="0" applyFont="1" applyBorder="1"/>
    <xf numFmtId="0" fontId="12" fillId="0" borderId="0" xfId="0" applyFont="1"/>
    <xf numFmtId="3" fontId="7" fillId="0" borderId="5" xfId="0" applyNumberFormat="1" applyFont="1" applyBorder="1"/>
    <xf numFmtId="3" fontId="7" fillId="0" borderId="6" xfId="0" applyNumberFormat="1" applyFont="1" applyBorder="1"/>
    <xf numFmtId="6" fontId="7" fillId="0" borderId="8" xfId="0" applyNumberFormat="1" applyFont="1" applyBorder="1"/>
    <xf numFmtId="10" fontId="7" fillId="0" borderId="8" xfId="0" applyNumberFormat="1" applyFont="1" applyBorder="1"/>
    <xf numFmtId="0" fontId="7" fillId="0" borderId="8" xfId="0" applyFont="1" applyBorder="1"/>
    <xf numFmtId="9" fontId="7" fillId="0" borderId="9" xfId="0" applyNumberFormat="1" applyFont="1" applyBorder="1"/>
    <xf numFmtId="9" fontId="7" fillId="0" borderId="4" xfId="0" applyNumberFormat="1" applyFont="1" applyBorder="1"/>
    <xf numFmtId="9" fontId="10" fillId="0" borderId="0" xfId="3" applyFont="1" applyBorder="1"/>
    <xf numFmtId="9" fontId="10" fillId="0" borderId="8" xfId="3" applyFont="1" applyBorder="1"/>
    <xf numFmtId="167" fontId="10" fillId="0" borderId="0" xfId="1" applyNumberFormat="1" applyFont="1" applyBorder="1"/>
    <xf numFmtId="167" fontId="10" fillId="0" borderId="8" xfId="1" applyNumberFormat="1" applyFont="1" applyBorder="1"/>
    <xf numFmtId="0" fontId="7" fillId="0" borderId="5" xfId="0" applyFont="1" applyBorder="1"/>
    <xf numFmtId="9" fontId="11" fillId="0" borderId="0" xfId="0" applyNumberFormat="1" applyFont="1" applyBorder="1"/>
    <xf numFmtId="9" fontId="11" fillId="0" borderId="0" xfId="3" applyFont="1" applyBorder="1"/>
    <xf numFmtId="167" fontId="11" fillId="0" borderId="0" xfId="1" applyNumberFormat="1" applyFont="1" applyBorder="1"/>
    <xf numFmtId="43" fontId="13" fillId="0" borderId="0" xfId="1" applyFont="1" applyBorder="1"/>
    <xf numFmtId="9" fontId="13" fillId="0" borderId="0" xfId="0" applyNumberFormat="1" applyFont="1" applyBorder="1"/>
    <xf numFmtId="6" fontId="7" fillId="0" borderId="0" xfId="0" applyNumberFormat="1" applyFont="1" applyBorder="1"/>
    <xf numFmtId="0" fontId="7" fillId="0" borderId="6" xfId="0" applyFont="1" applyBorder="1"/>
    <xf numFmtId="43" fontId="15" fillId="0" borderId="0" xfId="1" applyFont="1" applyBorder="1"/>
    <xf numFmtId="43" fontId="10" fillId="0" borderId="0" xfId="1" applyFont="1" applyBorder="1"/>
    <xf numFmtId="43" fontId="10" fillId="0" borderId="0" xfId="1" applyNumberFormat="1" applyFont="1" applyBorder="1"/>
    <xf numFmtId="0" fontId="8" fillId="0" borderId="6" xfId="0" applyFont="1" applyBorder="1" applyAlignment="1">
      <alignment horizontal="center"/>
    </xf>
    <xf numFmtId="166" fontId="7" fillId="0" borderId="9" xfId="0" applyNumberFormat="1" applyFont="1" applyBorder="1"/>
    <xf numFmtId="166" fontId="7" fillId="0" borderId="4" xfId="0" applyNumberFormat="1" applyFont="1" applyBorder="1"/>
    <xf numFmtId="9" fontId="7" fillId="0" borderId="0" xfId="0" applyNumberFormat="1" applyFont="1" applyBorder="1"/>
    <xf numFmtId="0" fontId="16" fillId="0" borderId="0" xfId="0" applyFont="1" applyBorder="1"/>
    <xf numFmtId="3" fontId="7" fillId="0" borderId="8" xfId="0" applyNumberFormat="1" applyFont="1" applyBorder="1"/>
    <xf numFmtId="9" fontId="7" fillId="0" borderId="8" xfId="0" applyNumberFormat="1" applyFont="1" applyBorder="1"/>
    <xf numFmtId="43" fontId="10" fillId="0" borderId="8" xfId="1" applyFont="1" applyBorder="1"/>
    <xf numFmtId="43" fontId="15" fillId="0" borderId="8" xfId="1" applyFont="1" applyBorder="1"/>
    <xf numFmtId="0" fontId="14" fillId="0" borderId="0" xfId="0" applyFont="1" applyFill="1" applyBorder="1"/>
    <xf numFmtId="0" fontId="8" fillId="0" borderId="5" xfId="0" applyFont="1" applyBorder="1" applyAlignment="1">
      <alignment horizontal="center"/>
    </xf>
    <xf numFmtId="0" fontId="7" fillId="0" borderId="15" xfId="0" applyFont="1" applyBorder="1"/>
    <xf numFmtId="0" fontId="7" fillId="0" borderId="16" xfId="0" applyFont="1" applyBorder="1"/>
    <xf numFmtId="0" fontId="0" fillId="0" borderId="17" xfId="0" applyBorder="1"/>
    <xf numFmtId="0" fontId="7" fillId="0" borderId="0" xfId="0" quotePrefix="1" applyFont="1" applyBorder="1"/>
    <xf numFmtId="0" fontId="18" fillId="0" borderId="0" xfId="0" applyFont="1" applyFill="1" applyBorder="1" applyAlignment="1"/>
    <xf numFmtId="0" fontId="11" fillId="0" borderId="0" xfId="0" applyFont="1" applyFill="1" applyBorder="1"/>
    <xf numFmtId="0" fontId="19" fillId="0" borderId="0" xfId="0" applyFont="1" applyFill="1" applyBorder="1"/>
    <xf numFmtId="164" fontId="19" fillId="0" borderId="0" xfId="0" applyNumberFormat="1" applyFont="1" applyFill="1" applyBorder="1"/>
    <xf numFmtId="0" fontId="7" fillId="0" borderId="0" xfId="0" applyFont="1" applyFill="1" applyBorder="1" applyAlignment="1">
      <alignment horizontal="center"/>
    </xf>
    <xf numFmtId="0" fontId="7" fillId="0" borderId="15" xfId="0" applyFont="1" applyFill="1" applyBorder="1"/>
    <xf numFmtId="0" fontId="0" fillId="0" borderId="16" xfId="0" applyFill="1" applyBorder="1"/>
    <xf numFmtId="0" fontId="0" fillId="0" borderId="16" xfId="0" applyFill="1" applyBorder="1" applyAlignment="1">
      <alignment horizontal="right"/>
    </xf>
    <xf numFmtId="0" fontId="0" fillId="0" borderId="15" xfId="0" applyFill="1" applyBorder="1"/>
    <xf numFmtId="0" fontId="0" fillId="0" borderId="2" xfId="0" applyBorder="1" applyAlignment="1">
      <alignment horizontal="center"/>
    </xf>
    <xf numFmtId="164" fontId="20" fillId="0" borderId="5" xfId="2" applyNumberFormat="1" applyFont="1" applyBorder="1"/>
    <xf numFmtId="164" fontId="20" fillId="0" borderId="6" xfId="2" applyNumberFormat="1" applyFont="1" applyBorder="1"/>
    <xf numFmtId="0" fontId="0" fillId="0" borderId="7" xfId="0" applyBorder="1" applyAlignment="1">
      <alignment horizontal="center"/>
    </xf>
    <xf numFmtId="164" fontId="0" fillId="0" borderId="0" xfId="2" applyNumberFormat="1" applyFont="1" applyBorder="1"/>
    <xf numFmtId="164" fontId="0" fillId="0" borderId="8" xfId="2" applyNumberFormat="1" applyFont="1" applyBorder="1"/>
    <xf numFmtId="164" fontId="0" fillId="0" borderId="0" xfId="0" applyNumberFormat="1" applyBorder="1"/>
    <xf numFmtId="164" fontId="0" fillId="0" borderId="8" xfId="0" applyNumberFormat="1" applyBorder="1"/>
    <xf numFmtId="164" fontId="0" fillId="0" borderId="9" xfId="0" applyNumberFormat="1" applyBorder="1"/>
    <xf numFmtId="164" fontId="0" fillId="0" borderId="4" xfId="0" applyNumberFormat="1" applyBorder="1"/>
    <xf numFmtId="44" fontId="7" fillId="0" borderId="0" xfId="2" applyFont="1" applyFill="1" applyBorder="1" applyAlignment="1">
      <alignment horizontal="right"/>
    </xf>
    <xf numFmtId="0" fontId="0" fillId="0" borderId="0" xfId="0" applyFont="1" applyFill="1" applyBorder="1"/>
    <xf numFmtId="0" fontId="22" fillId="0" borderId="0" xfId="0" applyFont="1" applyBorder="1" applyAlignment="1">
      <alignment vertical="center"/>
    </xf>
    <xf numFmtId="0" fontId="0" fillId="0" borderId="0" xfId="0" applyFill="1"/>
    <xf numFmtId="0" fontId="14" fillId="0" borderId="0" xfId="0" applyFont="1"/>
    <xf numFmtId="4" fontId="7" fillId="0" borderId="17" xfId="0" applyNumberFormat="1" applyFont="1" applyFill="1" applyBorder="1" applyAlignment="1">
      <alignment horizontal="right"/>
    </xf>
    <xf numFmtId="171" fontId="7" fillId="0" borderId="0" xfId="0" applyNumberFormat="1" applyFont="1"/>
    <xf numFmtId="0" fontId="7" fillId="0" borderId="0" xfId="0" applyFont="1" applyBorder="1" applyAlignment="1">
      <alignment horizontal="center"/>
    </xf>
    <xf numFmtId="3" fontId="24"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xf>
    <xf numFmtId="0" fontId="11" fillId="0" borderId="0" xfId="0" applyFont="1" applyBorder="1" applyAlignment="1">
      <alignment horizontal="center"/>
    </xf>
    <xf numFmtId="173" fontId="7" fillId="0" borderId="16" xfId="0" applyNumberFormat="1" applyFont="1" applyFill="1" applyBorder="1" applyAlignment="1">
      <alignment horizontal="right"/>
    </xf>
    <xf numFmtId="0" fontId="14" fillId="0" borderId="0" xfId="0" applyFont="1" applyFill="1"/>
    <xf numFmtId="0" fontId="13" fillId="0" borderId="0" xfId="0" applyFont="1" applyFill="1"/>
    <xf numFmtId="0" fontId="26" fillId="0" borderId="0" xfId="0" applyFont="1"/>
    <xf numFmtId="0" fontId="8" fillId="0" borderId="11" xfId="0" applyFont="1" applyFill="1" applyBorder="1"/>
    <xf numFmtId="0" fontId="8" fillId="0" borderId="21" xfId="0" applyFont="1" applyFill="1" applyBorder="1"/>
    <xf numFmtId="0" fontId="7" fillId="0" borderId="0" xfId="0" quotePrefix="1" applyFont="1" applyFill="1" applyBorder="1"/>
    <xf numFmtId="165" fontId="7" fillId="0" borderId="0" xfId="1" quotePrefix="1" applyNumberFormat="1" applyFont="1" applyFill="1" applyBorder="1"/>
    <xf numFmtId="37" fontId="0" fillId="0" borderId="0" xfId="1" applyNumberFormat="1" applyFont="1" applyBorder="1" applyAlignment="1">
      <alignment horizontal="center"/>
    </xf>
    <xf numFmtId="0" fontId="23" fillId="0" borderId="0" xfId="0" applyFont="1" applyBorder="1"/>
    <xf numFmtId="37" fontId="0" fillId="0" borderId="0" xfId="1" applyNumberFormat="1" applyFont="1" applyFill="1" applyBorder="1" applyAlignment="1">
      <alignment horizontal="center"/>
    </xf>
    <xf numFmtId="164" fontId="0" fillId="0" borderId="0" xfId="2" applyNumberFormat="1" applyFont="1" applyFill="1" applyBorder="1"/>
    <xf numFmtId="37" fontId="14" fillId="0" borderId="0" xfId="1" applyNumberFormat="1" applyFont="1" applyFill="1" applyBorder="1" applyAlignment="1">
      <alignment horizontal="center"/>
    </xf>
    <xf numFmtId="164" fontId="14" fillId="0" borderId="0" xfId="2" applyNumberFormat="1" applyFont="1" applyFill="1" applyBorder="1"/>
    <xf numFmtId="0" fontId="27" fillId="0" borderId="0" xfId="0" applyFont="1"/>
    <xf numFmtId="0" fontId="17" fillId="0" borderId="0" xfId="0" applyFont="1" applyBorder="1"/>
    <xf numFmtId="0" fontId="17" fillId="0" borderId="0" xfId="0" applyFont="1" applyFill="1"/>
    <xf numFmtId="0" fontId="28" fillId="0" borderId="0" xfId="4" applyAlignment="1" applyProtection="1"/>
    <xf numFmtId="9" fontId="0" fillId="0" borderId="0" xfId="0" applyNumberFormat="1"/>
    <xf numFmtId="0" fontId="13" fillId="0" borderId="0" xfId="0" applyFont="1"/>
    <xf numFmtId="0" fontId="29" fillId="0" borderId="5" xfId="0" applyFont="1" applyBorder="1"/>
    <xf numFmtId="3" fontId="29" fillId="0" borderId="0" xfId="0" applyNumberFormat="1" applyFont="1" applyBorder="1"/>
    <xf numFmtId="6" fontId="29" fillId="0" borderId="8" xfId="0" applyNumberFormat="1" applyFont="1" applyBorder="1"/>
    <xf numFmtId="0" fontId="7" fillId="0" borderId="2" xfId="0" applyFont="1" applyBorder="1"/>
    <xf numFmtId="0" fontId="10" fillId="0" borderId="0" xfId="0" applyFont="1" applyFill="1" applyBorder="1"/>
    <xf numFmtId="164" fontId="13" fillId="0" borderId="0" xfId="2" applyNumberFormat="1" applyFont="1" applyFill="1" applyBorder="1" applyAlignment="1">
      <alignment horizontal="center"/>
    </xf>
    <xf numFmtId="0" fontId="6" fillId="0" borderId="0" xfId="5"/>
    <xf numFmtId="164" fontId="6" fillId="0" borderId="0" xfId="5" applyNumberFormat="1"/>
    <xf numFmtId="164" fontId="32" fillId="0" borderId="0" xfId="5" applyNumberFormat="1" applyFont="1" applyBorder="1"/>
    <xf numFmtId="0" fontId="33" fillId="0" borderId="0" xfId="5" applyFont="1" applyBorder="1" applyAlignment="1"/>
    <xf numFmtId="164" fontId="31" fillId="0" borderId="0" xfId="5" applyNumberFormat="1" applyFont="1" applyAlignment="1">
      <alignment horizontal="right"/>
    </xf>
    <xf numFmtId="0" fontId="31" fillId="0" borderId="0" xfId="5" applyFont="1" applyAlignment="1">
      <alignment horizontal="right"/>
    </xf>
    <xf numFmtId="44" fontId="0" fillId="0" borderId="0" xfId="6" applyFont="1" applyBorder="1"/>
    <xf numFmtId="44" fontId="0" fillId="0" borderId="0" xfId="6" applyNumberFormat="1" applyFont="1" applyBorder="1"/>
    <xf numFmtId="0" fontId="6" fillId="0" borderId="0" xfId="5" applyBorder="1"/>
    <xf numFmtId="164" fontId="31" fillId="0" borderId="0" xfId="5" applyNumberFormat="1" applyFont="1" applyBorder="1"/>
    <xf numFmtId="44" fontId="0" fillId="0" borderId="4" xfId="6" applyFont="1" applyBorder="1"/>
    <xf numFmtId="44" fontId="0" fillId="0" borderId="9" xfId="6" applyNumberFormat="1" applyFont="1" applyBorder="1"/>
    <xf numFmtId="0" fontId="6" fillId="0" borderId="3" xfId="5" applyBorder="1"/>
    <xf numFmtId="44" fontId="0" fillId="0" borderId="8" xfId="6" applyFont="1" applyBorder="1"/>
    <xf numFmtId="0" fontId="6" fillId="0" borderId="7" xfId="5" applyBorder="1"/>
    <xf numFmtId="44" fontId="13" fillId="0" borderId="8" xfId="6" applyFont="1" applyFill="1" applyBorder="1"/>
    <xf numFmtId="0" fontId="6" fillId="0" borderId="7" xfId="5" applyFill="1" applyBorder="1"/>
    <xf numFmtId="0" fontId="6" fillId="0" borderId="8" xfId="5" applyBorder="1"/>
    <xf numFmtId="164" fontId="13" fillId="0" borderId="7" xfId="6" applyNumberFormat="1" applyFont="1" applyFill="1" applyBorder="1"/>
    <xf numFmtId="0" fontId="30" fillId="0" borderId="8" xfId="5" applyFont="1" applyFill="1" applyBorder="1"/>
    <xf numFmtId="0" fontId="30" fillId="0" borderId="0" xfId="5" applyFont="1" applyFill="1" applyBorder="1"/>
    <xf numFmtId="0" fontId="31" fillId="0" borderId="25" xfId="5" applyFont="1" applyBorder="1" applyAlignment="1">
      <alignment horizontal="center" wrapText="1"/>
    </xf>
    <xf numFmtId="0" fontId="31" fillId="0" borderId="26" xfId="5" applyFont="1" applyBorder="1" applyAlignment="1">
      <alignment horizontal="center" wrapText="1"/>
    </xf>
    <xf numFmtId="0" fontId="31" fillId="0" borderId="27" xfId="5" applyFont="1" applyBorder="1" applyAlignment="1">
      <alignment horizontal="center" wrapText="1"/>
    </xf>
    <xf numFmtId="0" fontId="6" fillId="0" borderId="0" xfId="5" applyFill="1"/>
    <xf numFmtId="0" fontId="30" fillId="0" borderId="0" xfId="5" applyFont="1" applyFill="1"/>
    <xf numFmtId="0" fontId="6" fillId="0" borderId="17" xfId="5" quotePrefix="1" applyBorder="1"/>
    <xf numFmtId="9" fontId="0" fillId="3" borderId="16" xfId="8" applyFont="1" applyFill="1" applyBorder="1"/>
    <xf numFmtId="0" fontId="6" fillId="0" borderId="16" xfId="5" applyBorder="1"/>
    <xf numFmtId="0" fontId="6" fillId="0" borderId="15" xfId="5" applyBorder="1"/>
    <xf numFmtId="0" fontId="6" fillId="0" borderId="0" xfId="5" applyAlignment="1">
      <alignment horizontal="right"/>
    </xf>
    <xf numFmtId="0" fontId="34" fillId="0" borderId="0" xfId="5" applyFont="1" applyFill="1"/>
    <xf numFmtId="0" fontId="35" fillId="0" borderId="0" xfId="5" applyFont="1"/>
    <xf numFmtId="0" fontId="36" fillId="0" borderId="0" xfId="5" applyFont="1"/>
    <xf numFmtId="164" fontId="30" fillId="0" borderId="0" xfId="5" applyNumberFormat="1" applyFont="1" applyBorder="1"/>
    <xf numFmtId="164" fontId="30" fillId="0" borderId="0" xfId="5" applyNumberFormat="1" applyFont="1" applyFill="1" applyBorder="1"/>
    <xf numFmtId="0" fontId="29" fillId="0" borderId="2" xfId="0" applyFont="1" applyBorder="1"/>
    <xf numFmtId="3" fontId="29" fillId="0" borderId="5" xfId="0" applyNumberFormat="1" applyFont="1" applyBorder="1"/>
    <xf numFmtId="3" fontId="29" fillId="0" borderId="6" xfId="0" applyNumberFormat="1" applyFont="1" applyBorder="1"/>
    <xf numFmtId="0" fontId="29" fillId="0" borderId="7" xfId="0" applyFont="1" applyBorder="1"/>
    <xf numFmtId="0" fontId="29" fillId="0" borderId="0" xfId="0" applyFont="1" applyBorder="1"/>
    <xf numFmtId="6" fontId="29" fillId="0" borderId="0" xfId="0" applyNumberFormat="1" applyFont="1" applyBorder="1"/>
    <xf numFmtId="10" fontId="29" fillId="0" borderId="0" xfId="0" applyNumberFormat="1" applyFont="1" applyBorder="1"/>
    <xf numFmtId="10" fontId="29" fillId="0" borderId="8" xfId="0" applyNumberFormat="1" applyFont="1" applyBorder="1"/>
    <xf numFmtId="0" fontId="29" fillId="0" borderId="8" xfId="0" applyFont="1" applyBorder="1"/>
    <xf numFmtId="166" fontId="29" fillId="0" borderId="9" xfId="0" applyNumberFormat="1" applyFont="1" applyBorder="1"/>
    <xf numFmtId="166" fontId="29" fillId="0" borderId="4" xfId="0" applyNumberFormat="1" applyFont="1" applyBorder="1"/>
    <xf numFmtId="0" fontId="11" fillId="0" borderId="0" xfId="0" applyFont="1"/>
    <xf numFmtId="0" fontId="38" fillId="0" borderId="5" xfId="0" applyFont="1" applyBorder="1"/>
    <xf numFmtId="0" fontId="38" fillId="0" borderId="0" xfId="0" applyFont="1" applyBorder="1"/>
    <xf numFmtId="0" fontId="38" fillId="0" borderId="0" xfId="0" applyFont="1" applyFill="1" applyBorder="1"/>
    <xf numFmtId="10" fontId="38" fillId="0" borderId="0" xfId="0" applyNumberFormat="1" applyFont="1" applyBorder="1"/>
    <xf numFmtId="10" fontId="38" fillId="0" borderId="0" xfId="0" applyNumberFormat="1" applyFont="1" applyFill="1" applyBorder="1"/>
    <xf numFmtId="166" fontId="38" fillId="0" borderId="9" xfId="0" applyNumberFormat="1" applyFont="1" applyBorder="1"/>
    <xf numFmtId="6" fontId="29" fillId="0" borderId="0" xfId="0" applyNumberFormat="1" applyFont="1" applyFill="1" applyBorder="1"/>
    <xf numFmtId="0" fontId="38" fillId="0" borderId="7" xfId="0" applyFont="1" applyBorder="1"/>
    <xf numFmtId="169" fontId="38" fillId="0" borderId="0" xfId="1" applyNumberFormat="1" applyFont="1" applyBorder="1"/>
    <xf numFmtId="169" fontId="38" fillId="0" borderId="0" xfId="1" applyNumberFormat="1" applyFont="1" applyFill="1" applyBorder="1"/>
    <xf numFmtId="169" fontId="16" fillId="0" borderId="0" xfId="1" applyNumberFormat="1" applyFont="1" applyBorder="1"/>
    <xf numFmtId="0" fontId="17" fillId="0" borderId="0" xfId="0" applyFont="1" applyFill="1" applyBorder="1"/>
    <xf numFmtId="0" fontId="38" fillId="0" borderId="5" xfId="0" applyFont="1" applyFill="1" applyBorder="1"/>
    <xf numFmtId="0" fontId="38" fillId="0" borderId="6" xfId="0" applyFont="1" applyFill="1" applyBorder="1"/>
    <xf numFmtId="6" fontId="29" fillId="0" borderId="8" xfId="0" applyNumberFormat="1" applyFont="1" applyFill="1" applyBorder="1"/>
    <xf numFmtId="10" fontId="38" fillId="0" borderId="8" xfId="0" applyNumberFormat="1" applyFont="1" applyFill="1" applyBorder="1"/>
    <xf numFmtId="169" fontId="38" fillId="0" borderId="8" xfId="1" applyNumberFormat="1" applyFont="1" applyFill="1" applyBorder="1"/>
    <xf numFmtId="0" fontId="0" fillId="0" borderId="8" xfId="0" applyBorder="1"/>
    <xf numFmtId="0" fontId="38" fillId="0" borderId="8" xfId="0" applyFont="1" applyFill="1" applyBorder="1"/>
    <xf numFmtId="9" fontId="38" fillId="0" borderId="9" xfId="0" applyNumberFormat="1" applyFont="1" applyBorder="1"/>
    <xf numFmtId="166" fontId="38" fillId="0" borderId="9" xfId="0" applyNumberFormat="1" applyFont="1" applyFill="1" applyBorder="1"/>
    <xf numFmtId="166" fontId="38" fillId="0" borderId="4" xfId="0" applyNumberFormat="1" applyFont="1" applyFill="1" applyBorder="1"/>
    <xf numFmtId="0" fontId="17" fillId="0" borderId="0" xfId="0" applyFont="1"/>
    <xf numFmtId="166" fontId="29" fillId="0" borderId="0" xfId="0" applyNumberFormat="1" applyFont="1" applyBorder="1"/>
    <xf numFmtId="9" fontId="29" fillId="0" borderId="9" xfId="0" applyNumberFormat="1" applyFont="1" applyBorder="1"/>
    <xf numFmtId="0" fontId="39" fillId="0" borderId="0" xfId="0" applyFont="1"/>
    <xf numFmtId="166" fontId="38" fillId="0" borderId="0" xfId="0" applyNumberFormat="1" applyFont="1" applyBorder="1"/>
    <xf numFmtId="164" fontId="29" fillId="0" borderId="0" xfId="2" applyNumberFormat="1" applyFont="1" applyBorder="1"/>
    <xf numFmtId="164" fontId="38" fillId="0" borderId="0" xfId="2" applyNumberFormat="1" applyFont="1" applyBorder="1"/>
    <xf numFmtId="0" fontId="8" fillId="0" borderId="6" xfId="0" applyFont="1" applyBorder="1"/>
    <xf numFmtId="3" fontId="38" fillId="0" borderId="8" xfId="0" applyNumberFormat="1" applyFont="1" applyBorder="1"/>
    <xf numFmtId="164" fontId="38" fillId="0" borderId="8" xfId="2" applyNumberFormat="1" applyFont="1" applyBorder="1"/>
    <xf numFmtId="166" fontId="38" fillId="0" borderId="8" xfId="0" applyNumberFormat="1" applyFont="1" applyBorder="1"/>
    <xf numFmtId="0" fontId="38" fillId="0" borderId="8" xfId="0" applyFont="1" applyBorder="1"/>
    <xf numFmtId="9" fontId="38" fillId="0" borderId="4" xfId="0" applyNumberFormat="1" applyFont="1" applyBorder="1"/>
    <xf numFmtId="0" fontId="8" fillId="0" borderId="5" xfId="0" applyFont="1" applyFill="1" applyBorder="1"/>
    <xf numFmtId="9" fontId="38" fillId="0" borderId="9" xfId="3" applyFont="1" applyBorder="1"/>
    <xf numFmtId="164" fontId="13" fillId="0" borderId="0" xfId="2" applyNumberFormat="1" applyFont="1" applyFill="1" applyBorder="1" applyAlignment="1">
      <alignment horizontal="left"/>
    </xf>
    <xf numFmtId="0" fontId="40" fillId="0" borderId="14" xfId="0" applyFont="1" applyFill="1" applyBorder="1" applyAlignment="1">
      <alignment horizontal="center" vertical="top" wrapText="1"/>
    </xf>
    <xf numFmtId="0" fontId="40" fillId="0" borderId="4" xfId="0" applyFont="1" applyFill="1" applyBorder="1" applyAlignment="1">
      <alignment horizontal="center" vertical="top" wrapText="1"/>
    </xf>
    <xf numFmtId="0" fontId="40" fillId="0" borderId="2" xfId="0" applyFont="1" applyBorder="1" applyAlignment="1">
      <alignment horizontal="left" wrapText="1"/>
    </xf>
    <xf numFmtId="165" fontId="40" fillId="0" borderId="12" xfId="1" applyNumberFormat="1" applyFont="1" applyFill="1" applyBorder="1" applyAlignment="1">
      <alignment horizontal="center" wrapText="1"/>
    </xf>
    <xf numFmtId="0" fontId="40" fillId="0" borderId="12" xfId="0" applyFont="1" applyBorder="1" applyAlignment="1">
      <alignment horizontal="center" wrapText="1"/>
    </xf>
    <xf numFmtId="0" fontId="40" fillId="0" borderId="6" xfId="0" applyFont="1" applyBorder="1" applyAlignment="1">
      <alignment horizontal="center" wrapText="1"/>
    </xf>
    <xf numFmtId="0" fontId="40" fillId="0" borderId="7" xfId="0" applyFont="1" applyFill="1" applyBorder="1" applyAlignment="1">
      <alignment wrapText="1"/>
    </xf>
    <xf numFmtId="166" fontId="40" fillId="0" borderId="1" xfId="3" applyNumberFormat="1" applyFont="1" applyFill="1" applyBorder="1" applyAlignment="1">
      <alignment wrapText="1"/>
    </xf>
    <xf numFmtId="9" fontId="40" fillId="0" borderId="1" xfId="3" applyFont="1" applyFill="1" applyBorder="1" applyAlignment="1">
      <alignment wrapText="1"/>
    </xf>
    <xf numFmtId="169" fontId="40" fillId="0" borderId="1" xfId="1" applyNumberFormat="1" applyFont="1" applyFill="1" applyBorder="1" applyAlignment="1">
      <alignment wrapText="1"/>
    </xf>
    <xf numFmtId="168" fontId="40" fillId="0" borderId="1" xfId="2" applyNumberFormat="1" applyFont="1" applyFill="1" applyBorder="1" applyAlignment="1">
      <alignment wrapText="1"/>
    </xf>
    <xf numFmtId="174" fontId="40" fillId="0" borderId="1" xfId="2" applyNumberFormat="1" applyFont="1" applyFill="1" applyBorder="1" applyAlignment="1">
      <alignment wrapText="1"/>
    </xf>
    <xf numFmtId="0" fontId="40" fillId="0" borderId="3" xfId="0" applyFont="1" applyFill="1" applyBorder="1" applyAlignment="1">
      <alignment vertical="top" wrapText="1"/>
    </xf>
    <xf numFmtId="0" fontId="41" fillId="0" borderId="20" xfId="0" applyFont="1" applyBorder="1" applyAlignment="1">
      <alignment horizontal="center" vertical="top" wrapText="1"/>
    </xf>
    <xf numFmtId="0" fontId="41" fillId="0" borderId="2" xfId="0" applyFont="1" applyFill="1" applyBorder="1" applyAlignment="1">
      <alignment wrapText="1"/>
    </xf>
    <xf numFmtId="0" fontId="41" fillId="0" borderId="12" xfId="0" applyFont="1" applyBorder="1" applyAlignment="1">
      <alignment horizontal="center" wrapText="1"/>
    </xf>
    <xf numFmtId="0" fontId="41" fillId="0" borderId="6" xfId="0" applyFont="1" applyBorder="1" applyAlignment="1">
      <alignment horizontal="center" wrapText="1"/>
    </xf>
    <xf numFmtId="164" fontId="40" fillId="0" borderId="1" xfId="2" quotePrefix="1" applyNumberFormat="1" applyFont="1" applyFill="1" applyBorder="1" applyAlignment="1">
      <alignment wrapText="1"/>
    </xf>
    <xf numFmtId="166" fontId="40" fillId="0" borderId="1" xfId="3" quotePrefix="1" applyNumberFormat="1" applyFont="1" applyFill="1" applyBorder="1" applyAlignment="1">
      <alignment wrapText="1"/>
    </xf>
    <xf numFmtId="168" fontId="40" fillId="0" borderId="1" xfId="2" quotePrefix="1" applyNumberFormat="1" applyFont="1" applyFill="1" applyBorder="1" applyAlignment="1">
      <alignment wrapText="1"/>
    </xf>
    <xf numFmtId="166" fontId="42" fillId="0" borderId="0" xfId="0" applyNumberFormat="1" applyFont="1"/>
    <xf numFmtId="0" fontId="46" fillId="0" borderId="22" xfId="13" quotePrefix="1" applyFont="1" applyBorder="1" applyAlignment="1">
      <alignment horizontal="left"/>
    </xf>
    <xf numFmtId="0" fontId="46" fillId="0" borderId="24" xfId="13" quotePrefix="1" applyFont="1" applyBorder="1" applyAlignment="1">
      <alignment horizontal="left"/>
    </xf>
    <xf numFmtId="175" fontId="46" fillId="0" borderId="24" xfId="13" quotePrefix="1" applyNumberFormat="1" applyFont="1" applyBorder="1" applyAlignment="1">
      <alignment horizontal="left"/>
    </xf>
    <xf numFmtId="4" fontId="46" fillId="0" borderId="24" xfId="13" quotePrefix="1" applyNumberFormat="1" applyFont="1" applyBorder="1" applyAlignment="1">
      <alignment horizontal="left"/>
    </xf>
    <xf numFmtId="173" fontId="46" fillId="0" borderId="24" xfId="13" quotePrefix="1" applyNumberFormat="1" applyFont="1" applyBorder="1" applyAlignment="1">
      <alignment horizontal="left"/>
    </xf>
    <xf numFmtId="172" fontId="46" fillId="0" borderId="24" xfId="13" quotePrefix="1" applyNumberFormat="1" applyFont="1" applyBorder="1" applyAlignment="1">
      <alignment horizontal="left"/>
    </xf>
    <xf numFmtId="172" fontId="46" fillId="0" borderId="24" xfId="13" applyNumberFormat="1" applyFont="1" applyBorder="1" applyAlignment="1">
      <alignment horizontal="left"/>
    </xf>
    <xf numFmtId="172" fontId="46" fillId="0" borderId="23" xfId="13" applyNumberFormat="1" applyFont="1" applyBorder="1" applyAlignment="1">
      <alignment horizontal="left"/>
    </xf>
    <xf numFmtId="0" fontId="46" fillId="0" borderId="34" xfId="13" applyFont="1" applyBorder="1" applyAlignment="1"/>
    <xf numFmtId="0" fontId="46" fillId="0" borderId="0" xfId="13" applyFont="1" applyBorder="1" applyAlignment="1"/>
    <xf numFmtId="3" fontId="46" fillId="0" borderId="0" xfId="13" applyNumberFormat="1" applyFont="1" applyBorder="1"/>
    <xf numFmtId="3" fontId="46" fillId="0" borderId="35" xfId="13" applyNumberFormat="1" applyFont="1" applyBorder="1"/>
    <xf numFmtId="0" fontId="46" fillId="0" borderId="34" xfId="13" applyFont="1" applyFill="1" applyBorder="1" applyAlignment="1"/>
    <xf numFmtId="0" fontId="46" fillId="0" borderId="0" xfId="13" applyFont="1" applyFill="1" applyBorder="1" applyAlignment="1"/>
    <xf numFmtId="3" fontId="46" fillId="0" borderId="0" xfId="13" applyNumberFormat="1" applyFont="1" applyFill="1" applyBorder="1"/>
    <xf numFmtId="3" fontId="46" fillId="0" borderId="35" xfId="13" applyNumberFormat="1" applyFont="1" applyFill="1" applyBorder="1"/>
    <xf numFmtId="0" fontId="37" fillId="0" borderId="0" xfId="12" applyFont="1"/>
    <xf numFmtId="175" fontId="46" fillId="0" borderId="0" xfId="13" applyNumberFormat="1" applyFont="1" applyBorder="1" applyAlignment="1">
      <alignment horizontal="right"/>
    </xf>
    <xf numFmtId="0" fontId="46" fillId="0" borderId="38" xfId="13" applyFont="1" applyFill="1" applyBorder="1" applyAlignment="1"/>
    <xf numFmtId="3" fontId="46" fillId="0" borderId="38" xfId="13" applyNumberFormat="1" applyFont="1" applyFill="1" applyBorder="1"/>
    <xf numFmtId="3" fontId="46" fillId="0" borderId="37" xfId="13" applyNumberFormat="1" applyFont="1" applyFill="1" applyBorder="1"/>
    <xf numFmtId="9" fontId="8" fillId="0" borderId="0" xfId="3" applyFont="1" applyFill="1" applyBorder="1"/>
    <xf numFmtId="0" fontId="7" fillId="0" borderId="0" xfId="0" applyFont="1" applyFill="1" applyBorder="1" applyAlignment="1"/>
    <xf numFmtId="169" fontId="7" fillId="0" borderId="0" xfId="0" applyNumberFormat="1" applyFont="1" applyFill="1" applyBorder="1"/>
    <xf numFmtId="170" fontId="7" fillId="0" borderId="0" xfId="0" applyNumberFormat="1" applyFont="1" applyFill="1" applyBorder="1"/>
    <xf numFmtId="172" fontId="7" fillId="0" borderId="0" xfId="0" applyNumberFormat="1" applyFont="1" applyFill="1" applyBorder="1"/>
    <xf numFmtId="171" fontId="7" fillId="0" borderId="0" xfId="0" applyNumberFormat="1" applyFont="1" applyFill="1" applyBorder="1"/>
    <xf numFmtId="49" fontId="8" fillId="0" borderId="0" xfId="0" applyNumberFormat="1" applyFont="1" applyFill="1" applyBorder="1" applyAlignment="1">
      <alignment horizontal="left"/>
    </xf>
    <xf numFmtId="0" fontId="60" fillId="0" borderId="0" xfId="0" applyFont="1"/>
    <xf numFmtId="0" fontId="61" fillId="0" borderId="0" xfId="0" applyFont="1" applyFill="1" applyBorder="1"/>
    <xf numFmtId="0" fontId="11" fillId="0" borderId="0" xfId="0" applyFont="1" applyFill="1" applyBorder="1" applyAlignment="1">
      <alignment horizontal="center"/>
    </xf>
    <xf numFmtId="0" fontId="13" fillId="0" borderId="0" xfId="0" applyFont="1" applyFill="1" applyBorder="1" applyAlignment="1">
      <alignment horizontal="center"/>
    </xf>
    <xf numFmtId="164" fontId="30" fillId="0" borderId="7" xfId="2" applyNumberFormat="1" applyFont="1" applyBorder="1"/>
    <xf numFmtId="44" fontId="30" fillId="0" borderId="0" xfId="2" applyFont="1" applyBorder="1"/>
    <xf numFmtId="44" fontId="30" fillId="0" borderId="8" xfId="2" applyFont="1" applyBorder="1"/>
    <xf numFmtId="0" fontId="8" fillId="0" borderId="0" xfId="0" applyFont="1" applyBorder="1"/>
    <xf numFmtId="0" fontId="8" fillId="0" borderId="0" xfId="0" applyFont="1" applyBorder="1" applyAlignment="1">
      <alignment horizontal="left"/>
    </xf>
    <xf numFmtId="0" fontId="8" fillId="0" borderId="3" xfId="0" applyFont="1" applyFill="1" applyBorder="1"/>
    <xf numFmtId="0" fontId="0" fillId="5" borderId="1" xfId="0" applyFill="1" applyBorder="1"/>
    <xf numFmtId="44" fontId="0" fillId="5" borderId="1" xfId="2" applyFont="1" applyFill="1" applyBorder="1" applyAlignment="1">
      <alignment horizontal="left"/>
    </xf>
    <xf numFmtId="0" fontId="17" fillId="0" borderId="39" xfId="0" applyFont="1" applyFill="1" applyBorder="1" applyAlignment="1">
      <alignment horizontal="center" vertical="top" wrapText="1"/>
    </xf>
    <xf numFmtId="0" fontId="17" fillId="0" borderId="37" xfId="0" applyFont="1" applyFill="1" applyBorder="1" applyAlignment="1">
      <alignment horizontal="center" vertical="top" wrapText="1"/>
    </xf>
    <xf numFmtId="0" fontId="0" fillId="2" borderId="1" xfId="0" applyFill="1" applyBorder="1"/>
    <xf numFmtId="44" fontId="0" fillId="2" borderId="1" xfId="2" applyFont="1" applyFill="1" applyBorder="1" applyAlignment="1">
      <alignment horizontal="left"/>
    </xf>
    <xf numFmtId="0" fontId="8" fillId="0" borderId="0" xfId="0" applyFont="1" applyAlignment="1">
      <alignment horizontal="left"/>
    </xf>
    <xf numFmtId="0" fontId="64" fillId="0" borderId="0" xfId="0" applyFont="1" applyFill="1"/>
    <xf numFmtId="178" fontId="8" fillId="5" borderId="33" xfId="1" applyNumberFormat="1" applyFont="1" applyFill="1" applyBorder="1" applyAlignment="1">
      <alignment horizontal="center"/>
    </xf>
    <xf numFmtId="0" fontId="65" fillId="0" borderId="0" xfId="0" applyFont="1" applyBorder="1"/>
    <xf numFmtId="179" fontId="0" fillId="5" borderId="1" xfId="2" applyNumberFormat="1" applyFont="1" applyFill="1" applyBorder="1" applyAlignment="1">
      <alignment horizontal="center"/>
    </xf>
    <xf numFmtId="179" fontId="0" fillId="2" borderId="1" xfId="2" applyNumberFormat="1" applyFont="1" applyFill="1" applyBorder="1" applyAlignment="1">
      <alignment horizontal="center"/>
    </xf>
    <xf numFmtId="179" fontId="7" fillId="5" borderId="1" xfId="2" applyNumberFormat="1" applyFont="1" applyFill="1" applyBorder="1" applyAlignment="1">
      <alignment horizontal="center"/>
    </xf>
    <xf numFmtId="179" fontId="7" fillId="2" borderId="1" xfId="2" applyNumberFormat="1" applyFont="1" applyFill="1" applyBorder="1" applyAlignment="1">
      <alignment horizontal="center"/>
    </xf>
    <xf numFmtId="3" fontId="7" fillId="5" borderId="1" xfId="1" applyNumberFormat="1" applyFont="1" applyFill="1" applyBorder="1" applyAlignment="1">
      <alignment horizontal="center"/>
    </xf>
    <xf numFmtId="3" fontId="7" fillId="2" borderId="1" xfId="1" applyNumberFormat="1" applyFont="1" applyFill="1" applyBorder="1" applyAlignment="1">
      <alignment horizontal="center"/>
    </xf>
    <xf numFmtId="3" fontId="7" fillId="5" borderId="12" xfId="1" applyNumberFormat="1" applyFont="1" applyFill="1" applyBorder="1" applyAlignment="1">
      <alignment horizontal="center"/>
    </xf>
    <xf numFmtId="3" fontId="7" fillId="2" borderId="12" xfId="1" applyNumberFormat="1" applyFont="1" applyFill="1" applyBorder="1" applyAlignment="1">
      <alignment horizontal="center"/>
    </xf>
    <xf numFmtId="179" fontId="7" fillId="5" borderId="12" xfId="2" applyNumberFormat="1" applyFont="1" applyFill="1" applyBorder="1" applyAlignment="1">
      <alignment horizontal="center"/>
    </xf>
    <xf numFmtId="179" fontId="7" fillId="2" borderId="12" xfId="2" applyNumberFormat="1" applyFont="1" applyFill="1" applyBorder="1" applyAlignment="1">
      <alignment horizontal="center"/>
    </xf>
    <xf numFmtId="179" fontId="0" fillId="5" borderId="14" xfId="2" applyNumberFormat="1" applyFont="1" applyFill="1" applyBorder="1" applyAlignment="1">
      <alignment horizontal="center"/>
    </xf>
    <xf numFmtId="179" fontId="0" fillId="2" borderId="14" xfId="2" applyNumberFormat="1" applyFont="1" applyFill="1" applyBorder="1" applyAlignment="1">
      <alignment horizontal="center"/>
    </xf>
    <xf numFmtId="3" fontId="0" fillId="5" borderId="1" xfId="1" applyNumberFormat="1" applyFont="1" applyFill="1" applyBorder="1" applyAlignment="1">
      <alignment horizontal="center"/>
    </xf>
    <xf numFmtId="3" fontId="0" fillId="2" borderId="1" xfId="1" applyNumberFormat="1" applyFont="1" applyFill="1" applyBorder="1" applyAlignment="1">
      <alignment horizontal="center"/>
    </xf>
    <xf numFmtId="179" fontId="0" fillId="5" borderId="1" xfId="0" applyNumberFormat="1" applyFill="1" applyBorder="1" applyAlignment="1">
      <alignment horizontal="center"/>
    </xf>
    <xf numFmtId="179" fontId="0" fillId="2" borderId="1" xfId="0" applyNumberFormat="1" applyFill="1" applyBorder="1" applyAlignment="1">
      <alignment horizontal="center"/>
    </xf>
    <xf numFmtId="179" fontId="8" fillId="5" borderId="14" xfId="0" applyNumberFormat="1" applyFont="1" applyFill="1" applyBorder="1" applyAlignment="1">
      <alignment horizontal="center"/>
    </xf>
    <xf numFmtId="179" fontId="8" fillId="2" borderId="14" xfId="0" applyNumberFormat="1" applyFont="1" applyFill="1" applyBorder="1" applyAlignment="1">
      <alignment horizontal="center"/>
    </xf>
    <xf numFmtId="179" fontId="8" fillId="0" borderId="0" xfId="0" applyNumberFormat="1" applyFont="1" applyFill="1" applyBorder="1" applyAlignment="1">
      <alignment horizontal="center"/>
    </xf>
    <xf numFmtId="179" fontId="8" fillId="5" borderId="12" xfId="2" applyNumberFormat="1" applyFont="1" applyFill="1" applyBorder="1" applyAlignment="1">
      <alignment horizontal="center"/>
    </xf>
    <xf numFmtId="179" fontId="8" fillId="2" borderId="12" xfId="2" applyNumberFormat="1" applyFont="1" applyFill="1" applyBorder="1" applyAlignment="1">
      <alignment horizontal="center"/>
    </xf>
    <xf numFmtId="179" fontId="7" fillId="5" borderId="1" xfId="0" applyNumberFormat="1" applyFont="1" applyFill="1" applyBorder="1" applyAlignment="1">
      <alignment horizontal="center"/>
    </xf>
    <xf numFmtId="179" fontId="7" fillId="2" borderId="1" xfId="0" applyNumberFormat="1" applyFont="1" applyFill="1" applyBorder="1" applyAlignment="1">
      <alignment horizontal="center"/>
    </xf>
    <xf numFmtId="9" fontId="8" fillId="5" borderId="14" xfId="3" applyFont="1" applyFill="1" applyBorder="1" applyAlignment="1">
      <alignment horizontal="center"/>
    </xf>
    <xf numFmtId="9" fontId="8" fillId="2" borderId="14" xfId="3" applyFont="1" applyFill="1" applyBorder="1" applyAlignment="1">
      <alignment horizontal="center"/>
    </xf>
    <xf numFmtId="3" fontId="8" fillId="5" borderId="12" xfId="1" applyNumberFormat="1" applyFont="1" applyFill="1" applyBorder="1" applyAlignment="1">
      <alignment horizontal="center"/>
    </xf>
    <xf numFmtId="3" fontId="8" fillId="2" borderId="12" xfId="1" applyNumberFormat="1" applyFont="1" applyFill="1" applyBorder="1" applyAlignment="1">
      <alignment horizontal="center"/>
    </xf>
    <xf numFmtId="3" fontId="7" fillId="5" borderId="14" xfId="1" applyNumberFormat="1" applyFont="1" applyFill="1" applyBorder="1" applyAlignment="1">
      <alignment horizontal="center"/>
    </xf>
    <xf numFmtId="3" fontId="7" fillId="2" borderId="14" xfId="1" applyNumberFormat="1" applyFont="1" applyFill="1" applyBorder="1" applyAlignment="1">
      <alignment horizontal="center"/>
    </xf>
    <xf numFmtId="0" fontId="0" fillId="0" borderId="7" xfId="0" applyFill="1" applyBorder="1" applyAlignment="1">
      <alignment horizontal="center"/>
    </xf>
    <xf numFmtId="0" fontId="21" fillId="0" borderId="0" xfId="0" applyFont="1" applyAlignment="1">
      <alignment vertical="top" wrapText="1"/>
    </xf>
    <xf numFmtId="0" fontId="0" fillId="0" borderId="3" xfId="0" applyFill="1" applyBorder="1" applyAlignment="1">
      <alignment horizontal="center"/>
    </xf>
    <xf numFmtId="178" fontId="8" fillId="2" borderId="33" xfId="1" applyNumberFormat="1" applyFont="1" applyFill="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9" fontId="8" fillId="0" borderId="0" xfId="3" applyFont="1" applyFill="1" applyBorder="1" applyAlignment="1" applyProtection="1">
      <alignment horizontal="right"/>
      <protection locked="0"/>
    </xf>
    <xf numFmtId="0" fontId="17" fillId="0" borderId="29" xfId="0" applyFont="1" applyBorder="1" applyAlignment="1">
      <alignment horizontal="left"/>
    </xf>
    <xf numFmtId="165" fontId="17" fillId="0" borderId="32" xfId="1" applyNumberFormat="1" applyFont="1" applyFill="1" applyBorder="1" applyAlignment="1">
      <alignment horizontal="center"/>
    </xf>
    <xf numFmtId="0" fontId="17" fillId="0" borderId="32" xfId="0" applyFont="1" applyBorder="1" applyAlignment="1">
      <alignment horizontal="center"/>
    </xf>
    <xf numFmtId="0" fontId="17" fillId="0" borderId="30" xfId="0" applyFont="1" applyBorder="1" applyAlignment="1">
      <alignment horizontal="center"/>
    </xf>
    <xf numFmtId="0" fontId="17" fillId="0" borderId="34" xfId="0" applyFont="1" applyFill="1" applyBorder="1"/>
    <xf numFmtId="5" fontId="17" fillId="0" borderId="1" xfId="2" applyNumberFormat="1" applyFont="1" applyFill="1" applyBorder="1" applyAlignment="1">
      <alignment horizontal="center"/>
    </xf>
    <xf numFmtId="166" fontId="17" fillId="0" borderId="1" xfId="3" applyNumberFormat="1" applyFont="1" applyFill="1" applyBorder="1" applyAlignment="1">
      <alignment horizontal="center"/>
    </xf>
    <xf numFmtId="9" fontId="17" fillId="0" borderId="1" xfId="3" applyFont="1" applyFill="1" applyBorder="1" applyAlignment="1">
      <alignment horizontal="center"/>
    </xf>
    <xf numFmtId="0" fontId="67" fillId="0" borderId="34" xfId="0" applyFont="1" applyFill="1" applyBorder="1"/>
    <xf numFmtId="1" fontId="17" fillId="0" borderId="1" xfId="1" applyNumberFormat="1" applyFont="1" applyFill="1" applyBorder="1" applyAlignment="1">
      <alignment horizontal="center"/>
    </xf>
    <xf numFmtId="177" fontId="17" fillId="0" borderId="1" xfId="2" applyNumberFormat="1" applyFont="1" applyFill="1" applyBorder="1" applyAlignment="1">
      <alignment horizontal="center"/>
    </xf>
    <xf numFmtId="177" fontId="17" fillId="0" borderId="1" xfId="1" applyNumberFormat="1" applyFont="1" applyFill="1" applyBorder="1" applyAlignment="1">
      <alignment horizontal="center"/>
    </xf>
    <xf numFmtId="0" fontId="17" fillId="0" borderId="36" xfId="0" applyFont="1" applyFill="1" applyBorder="1" applyAlignment="1">
      <alignment vertical="top"/>
    </xf>
    <xf numFmtId="0" fontId="6" fillId="0" borderId="29" xfId="5" applyBorder="1"/>
    <xf numFmtId="0" fontId="6" fillId="0" borderId="31" xfId="5" applyBorder="1"/>
    <xf numFmtId="0" fontId="6" fillId="0" borderId="30" xfId="5" applyBorder="1"/>
    <xf numFmtId="0" fontId="33" fillId="0" borderId="34" xfId="5" applyFont="1" applyBorder="1" applyAlignment="1">
      <alignment horizontal="right"/>
    </xf>
    <xf numFmtId="164" fontId="6" fillId="0" borderId="0" xfId="5" applyNumberFormat="1" applyBorder="1"/>
    <xf numFmtId="164" fontId="6" fillId="0" borderId="35" xfId="5" applyNumberFormat="1" applyBorder="1"/>
    <xf numFmtId="0" fontId="33" fillId="0" borderId="36" xfId="5" applyFont="1" applyBorder="1" applyAlignment="1">
      <alignment horizontal="right"/>
    </xf>
    <xf numFmtId="164" fontId="62" fillId="0" borderId="38" xfId="5" applyNumberFormat="1" applyFont="1" applyBorder="1"/>
    <xf numFmtId="164" fontId="6" fillId="0" borderId="38" xfId="5" applyNumberFormat="1" applyBorder="1"/>
    <xf numFmtId="164" fontId="6" fillId="0" borderId="37" xfId="5" applyNumberFormat="1" applyBorder="1"/>
    <xf numFmtId="0" fontId="8" fillId="0" borderId="0" xfId="0" applyFont="1" applyBorder="1" applyProtection="1"/>
    <xf numFmtId="165" fontId="8" fillId="0" borderId="0" xfId="1" applyNumberFormat="1" applyFont="1" applyFill="1" applyBorder="1" applyProtection="1"/>
    <xf numFmtId="0" fontId="8" fillId="0" borderId="0" xfId="0" applyFont="1" applyBorder="1" applyAlignment="1" applyProtection="1">
      <alignment horizontal="left"/>
    </xf>
    <xf numFmtId="0" fontId="60" fillId="0" borderId="0" xfId="0" applyFont="1" applyProtection="1"/>
    <xf numFmtId="0" fontId="0" fillId="0" borderId="0" xfId="0" applyProtection="1"/>
    <xf numFmtId="0" fontId="7" fillId="0" borderId="0" xfId="0" applyFont="1" applyBorder="1" applyProtection="1"/>
    <xf numFmtId="0" fontId="14" fillId="0" borderId="0" xfId="0" applyFont="1" applyFill="1" applyProtection="1"/>
    <xf numFmtId="0" fontId="0" fillId="0" borderId="0" xfId="0" applyFill="1" applyProtection="1"/>
    <xf numFmtId="44" fontId="8" fillId="0" borderId="0" xfId="2" applyFont="1" applyFill="1" applyBorder="1" applyProtection="1"/>
    <xf numFmtId="0" fontId="8" fillId="0" borderId="0" xfId="0" applyFont="1" applyFill="1" applyBorder="1" applyProtection="1"/>
    <xf numFmtId="43" fontId="8" fillId="0" borderId="0" xfId="1" applyNumberFormat="1" applyFont="1" applyFill="1" applyBorder="1" applyProtection="1"/>
    <xf numFmtId="44" fontId="8" fillId="0" borderId="0" xfId="2" applyNumberFormat="1" applyFont="1" applyFill="1" applyBorder="1" applyProtection="1"/>
    <xf numFmtId="0" fontId="7" fillId="0" borderId="0" xfId="0" quotePrefix="1" applyFont="1" applyBorder="1" applyProtection="1"/>
    <xf numFmtId="9" fontId="8" fillId="0" borderId="0" xfId="3" applyFont="1" applyFill="1" applyBorder="1" applyProtection="1"/>
    <xf numFmtId="3" fontId="7" fillId="7" borderId="13" xfId="1" applyNumberFormat="1" applyFont="1" applyFill="1" applyBorder="1" applyAlignment="1">
      <alignment horizontal="center"/>
    </xf>
    <xf numFmtId="179" fontId="0" fillId="7" borderId="10" xfId="2" applyNumberFormat="1" applyFont="1" applyFill="1" applyBorder="1" applyAlignment="1">
      <alignment horizontal="center"/>
    </xf>
    <xf numFmtId="179" fontId="7" fillId="7" borderId="10" xfId="2" applyNumberFormat="1" applyFont="1" applyFill="1" applyBorder="1" applyAlignment="1">
      <alignment horizontal="center"/>
    </xf>
    <xf numFmtId="3" fontId="7" fillId="7" borderId="10" xfId="1" applyNumberFormat="1" applyFont="1" applyFill="1" applyBorder="1" applyAlignment="1">
      <alignment horizontal="center"/>
    </xf>
    <xf numFmtId="0" fontId="0" fillId="7" borderId="10" xfId="0" applyFill="1" applyBorder="1"/>
    <xf numFmtId="179" fontId="7" fillId="7" borderId="13" xfId="2" applyNumberFormat="1" applyFont="1" applyFill="1" applyBorder="1" applyAlignment="1">
      <alignment horizontal="center"/>
    </xf>
    <xf numFmtId="3" fontId="0" fillId="7" borderId="10" xfId="1" applyNumberFormat="1" applyFont="1" applyFill="1" applyBorder="1" applyAlignment="1">
      <alignment horizontal="center"/>
    </xf>
    <xf numFmtId="179" fontId="0" fillId="7" borderId="18" xfId="2" applyNumberFormat="1" applyFont="1" applyFill="1" applyBorder="1" applyAlignment="1">
      <alignment horizontal="center"/>
    </xf>
    <xf numFmtId="44" fontId="0" fillId="7" borderId="10" xfId="2" applyFont="1" applyFill="1" applyBorder="1" applyAlignment="1">
      <alignment horizontal="left"/>
    </xf>
    <xf numFmtId="179" fontId="0" fillId="7" borderId="10" xfId="0" applyNumberFormat="1" applyFill="1" applyBorder="1" applyAlignment="1">
      <alignment horizontal="center"/>
    </xf>
    <xf numFmtId="179" fontId="8" fillId="7" borderId="18" xfId="0" applyNumberFormat="1" applyFont="1" applyFill="1" applyBorder="1" applyAlignment="1">
      <alignment horizontal="center"/>
    </xf>
    <xf numFmtId="178" fontId="8" fillId="7" borderId="33" xfId="1" applyNumberFormat="1" applyFont="1" applyFill="1" applyBorder="1" applyAlignment="1">
      <alignment horizontal="center"/>
    </xf>
    <xf numFmtId="179" fontId="8" fillId="7" borderId="13" xfId="2" applyNumberFormat="1" applyFont="1" applyFill="1" applyBorder="1" applyAlignment="1">
      <alignment horizontal="center"/>
    </xf>
    <xf numFmtId="179" fontId="7" fillId="7" borderId="10" xfId="0" applyNumberFormat="1" applyFont="1" applyFill="1" applyBorder="1" applyAlignment="1">
      <alignment horizontal="center"/>
    </xf>
    <xf numFmtId="9" fontId="8" fillId="7" borderId="18" xfId="3" applyFont="1" applyFill="1" applyBorder="1" applyAlignment="1">
      <alignment horizontal="center"/>
    </xf>
    <xf numFmtId="3" fontId="8" fillId="7" borderId="13" xfId="1" applyNumberFormat="1" applyFont="1" applyFill="1" applyBorder="1" applyAlignment="1">
      <alignment horizontal="center"/>
    </xf>
    <xf numFmtId="3" fontId="7" fillId="7" borderId="18" xfId="1" applyNumberFormat="1" applyFont="1" applyFill="1" applyBorder="1" applyAlignment="1">
      <alignment horizontal="center"/>
    </xf>
    <xf numFmtId="3" fontId="7" fillId="8" borderId="12" xfId="1" applyNumberFormat="1" applyFont="1" applyFill="1" applyBorder="1" applyAlignment="1">
      <alignment horizontal="center"/>
    </xf>
    <xf numFmtId="179" fontId="7" fillId="8" borderId="1" xfId="2" applyNumberFormat="1" applyFont="1" applyFill="1" applyBorder="1" applyAlignment="1">
      <alignment horizontal="center"/>
    </xf>
    <xf numFmtId="3" fontId="7" fillId="8" borderId="1" xfId="1" applyNumberFormat="1" applyFont="1" applyFill="1" applyBorder="1" applyAlignment="1">
      <alignment horizontal="center"/>
    </xf>
    <xf numFmtId="179" fontId="0" fillId="8" borderId="1" xfId="2" applyNumberFormat="1" applyFont="1" applyFill="1" applyBorder="1" applyAlignment="1">
      <alignment horizontal="center"/>
    </xf>
    <xf numFmtId="0" fontId="0" fillId="8" borderId="1" xfId="0" applyFill="1" applyBorder="1"/>
    <xf numFmtId="179" fontId="7" fillId="8" borderId="12" xfId="2" applyNumberFormat="1" applyFont="1" applyFill="1" applyBorder="1" applyAlignment="1">
      <alignment horizontal="center"/>
    </xf>
    <xf numFmtId="3" fontId="0" fillId="8" borderId="1" xfId="1" applyNumberFormat="1" applyFont="1" applyFill="1" applyBorder="1" applyAlignment="1">
      <alignment horizontal="center"/>
    </xf>
    <xf numFmtId="179" fontId="0" fillId="8" borderId="14" xfId="2" applyNumberFormat="1" applyFont="1" applyFill="1" applyBorder="1" applyAlignment="1">
      <alignment horizontal="center"/>
    </xf>
    <xf numFmtId="44" fontId="0" fillId="8" borderId="1" xfId="2" applyFont="1" applyFill="1" applyBorder="1" applyAlignment="1">
      <alignment horizontal="left"/>
    </xf>
    <xf numFmtId="179" fontId="0" fillId="8" borderId="1" xfId="0" applyNumberFormat="1" applyFill="1" applyBorder="1" applyAlignment="1">
      <alignment horizontal="center"/>
    </xf>
    <xf numFmtId="179" fontId="8" fillId="8" borderId="14" xfId="0" applyNumberFormat="1" applyFont="1" applyFill="1" applyBorder="1" applyAlignment="1">
      <alignment horizontal="center"/>
    </xf>
    <xf numFmtId="179" fontId="8" fillId="8" borderId="12" xfId="2" applyNumberFormat="1" applyFont="1" applyFill="1" applyBorder="1" applyAlignment="1">
      <alignment horizontal="center"/>
    </xf>
    <xf numFmtId="179" fontId="7" fillId="8" borderId="1" xfId="0" applyNumberFormat="1" applyFont="1" applyFill="1" applyBorder="1" applyAlignment="1">
      <alignment horizontal="center"/>
    </xf>
    <xf numFmtId="9" fontId="8" fillId="8" borderId="14" xfId="3" applyFont="1" applyFill="1" applyBorder="1" applyAlignment="1">
      <alignment horizontal="center"/>
    </xf>
    <xf numFmtId="3" fontId="8" fillId="8" borderId="12" xfId="1" applyNumberFormat="1" applyFont="1" applyFill="1" applyBorder="1" applyAlignment="1">
      <alignment horizontal="center"/>
    </xf>
    <xf numFmtId="3" fontId="7" fillId="8" borderId="14" xfId="1" applyNumberFormat="1" applyFont="1" applyFill="1" applyBorder="1" applyAlignment="1">
      <alignment horizontal="center"/>
    </xf>
    <xf numFmtId="178" fontId="8" fillId="8" borderId="33" xfId="1" applyNumberFormat="1" applyFont="1" applyFill="1" applyBorder="1" applyAlignment="1">
      <alignment horizontal="center"/>
    </xf>
    <xf numFmtId="0" fontId="7" fillId="6" borderId="0" xfId="0" applyFont="1" applyFill="1" applyBorder="1" applyProtection="1">
      <protection locked="0"/>
    </xf>
    <xf numFmtId="0" fontId="7" fillId="0" borderId="19" xfId="0" applyFont="1" applyFill="1" applyBorder="1"/>
    <xf numFmtId="0" fontId="7" fillId="0" borderId="21" xfId="0" applyFont="1" applyFill="1" applyBorder="1"/>
    <xf numFmtId="0" fontId="7" fillId="0" borderId="7" xfId="0" applyFont="1" applyFill="1" applyBorder="1"/>
    <xf numFmtId="0" fontId="7" fillId="0" borderId="2" xfId="0" applyFont="1" applyFill="1" applyBorder="1"/>
    <xf numFmtId="0" fontId="2" fillId="0" borderId="0" xfId="22"/>
    <xf numFmtId="0" fontId="2" fillId="0" borderId="0" xfId="22" applyAlignment="1">
      <alignment horizontal="center"/>
    </xf>
    <xf numFmtId="0" fontId="2" fillId="0" borderId="0" xfId="22" applyFont="1"/>
    <xf numFmtId="0" fontId="2" fillId="0" borderId="0" xfId="22" applyBorder="1"/>
    <xf numFmtId="0" fontId="2" fillId="0" borderId="0" xfId="22" applyAlignment="1">
      <alignment vertical="center"/>
    </xf>
    <xf numFmtId="0" fontId="2" fillId="0" borderId="0" xfId="22" applyFont="1" applyAlignment="1">
      <alignment vertical="center"/>
    </xf>
    <xf numFmtId="0" fontId="2" fillId="0" borderId="0" xfId="22" applyBorder="1" applyAlignment="1">
      <alignment vertical="center"/>
    </xf>
    <xf numFmtId="0" fontId="2" fillId="4" borderId="7" xfId="22" applyFill="1" applyBorder="1"/>
    <xf numFmtId="0" fontId="2" fillId="4" borderId="0" xfId="22" applyFill="1" applyBorder="1"/>
    <xf numFmtId="0" fontId="2" fillId="4" borderId="8" xfId="22" applyFill="1" applyBorder="1"/>
    <xf numFmtId="0" fontId="2" fillId="0" borderId="0" xfId="22" applyFill="1"/>
    <xf numFmtId="0" fontId="2" fillId="0" borderId="0" xfId="22" quotePrefix="1" applyBorder="1"/>
    <xf numFmtId="0" fontId="31" fillId="0" borderId="0" xfId="22" applyFont="1"/>
    <xf numFmtId="1" fontId="0" fillId="0" borderId="0" xfId="23" applyNumberFormat="1" applyFont="1"/>
    <xf numFmtId="0" fontId="2" fillId="0" borderId="29" xfId="22" applyFont="1" applyBorder="1"/>
    <xf numFmtId="0" fontId="2" fillId="0" borderId="29" xfId="22" applyFont="1" applyBorder="1" applyAlignment="1">
      <alignment horizontal="centerContinuous"/>
    </xf>
    <xf numFmtId="0" fontId="2" fillId="0" borderId="30" xfId="22" applyFont="1" applyBorder="1" applyAlignment="1">
      <alignment horizontal="centerContinuous"/>
    </xf>
    <xf numFmtId="0" fontId="2" fillId="0" borderId="31" xfId="22" applyFont="1" applyBorder="1" applyAlignment="1">
      <alignment horizontal="centerContinuous"/>
    </xf>
    <xf numFmtId="0" fontId="2" fillId="0" borderId="32" xfId="22" applyFont="1" applyBorder="1"/>
    <xf numFmtId="0" fontId="2" fillId="0" borderId="33" xfId="22" applyFont="1" applyBorder="1"/>
    <xf numFmtId="0" fontId="46" fillId="0" borderId="24" xfId="22" applyFont="1" applyBorder="1" applyAlignment="1">
      <alignment horizontal="center" wrapText="1"/>
    </xf>
    <xf numFmtId="0" fontId="46" fillId="0" borderId="29" xfId="22" applyFont="1" applyBorder="1" applyAlignment="1">
      <alignment horizontal="center"/>
    </xf>
    <xf numFmtId="0" fontId="46" fillId="0" borderId="30" xfId="22" applyFont="1" applyBorder="1" applyAlignment="1">
      <alignment horizontal="center"/>
    </xf>
    <xf numFmtId="0" fontId="46" fillId="0" borderId="33" xfId="22" applyFont="1" applyBorder="1" applyAlignment="1">
      <alignment horizontal="center"/>
    </xf>
    <xf numFmtId="0" fontId="2" fillId="0" borderId="22" xfId="22" applyFont="1" applyBorder="1" applyAlignment="1">
      <alignment vertical="center"/>
    </xf>
    <xf numFmtId="0" fontId="2" fillId="0" borderId="22" xfId="22" applyFont="1" applyBorder="1" applyAlignment="1">
      <alignment horizontal="center" vertical="center"/>
    </xf>
    <xf numFmtId="0" fontId="2" fillId="0" borderId="24" xfId="22" applyFont="1" applyBorder="1" applyAlignment="1">
      <alignment horizontal="center" vertical="center"/>
    </xf>
    <xf numFmtId="0" fontId="2" fillId="0" borderId="23" xfId="22" applyFont="1" applyBorder="1" applyAlignment="1">
      <alignment horizontal="center" vertical="center"/>
    </xf>
    <xf numFmtId="0" fontId="2" fillId="0" borderId="33" xfId="22" applyFont="1" applyBorder="1" applyAlignment="1">
      <alignment horizontal="center" vertical="center"/>
    </xf>
    <xf numFmtId="0" fontId="2" fillId="0" borderId="0" xfId="22" applyFont="1" applyBorder="1" applyAlignment="1">
      <alignment horizontal="center" vertical="center"/>
    </xf>
    <xf numFmtId="0" fontId="2" fillId="0" borderId="22" xfId="22" applyFont="1" applyFill="1" applyBorder="1" applyAlignment="1">
      <alignment horizontal="left" vertical="center"/>
    </xf>
    <xf numFmtId="0" fontId="2" fillId="0" borderId="24" xfId="22" applyBorder="1" applyAlignment="1">
      <alignment horizontal="center"/>
    </xf>
    <xf numFmtId="3" fontId="2" fillId="0" borderId="23" xfId="22" applyNumberFormat="1" applyBorder="1" applyAlignment="1">
      <alignment horizontal="center"/>
    </xf>
    <xf numFmtId="0" fontId="2" fillId="0" borderId="0" xfId="22" applyBorder="1" applyAlignment="1">
      <alignment horizontal="center"/>
    </xf>
    <xf numFmtId="0" fontId="2" fillId="0" borderId="22" xfId="22" applyBorder="1" applyAlignment="1">
      <alignment vertical="center"/>
    </xf>
    <xf numFmtId="0" fontId="2" fillId="0" borderId="22" xfId="22" applyBorder="1" applyAlignment="1">
      <alignment horizontal="center" vertical="center"/>
    </xf>
    <xf numFmtId="0" fontId="2" fillId="0" borderId="33" xfId="22" applyBorder="1" applyAlignment="1">
      <alignment horizontal="center" vertical="center"/>
    </xf>
    <xf numFmtId="0" fontId="2" fillId="0" borderId="23" xfId="22" applyBorder="1" applyAlignment="1">
      <alignment horizontal="center" vertical="center"/>
    </xf>
    <xf numFmtId="0" fontId="2" fillId="0" borderId="22" xfId="22" applyBorder="1"/>
    <xf numFmtId="0" fontId="2" fillId="0" borderId="33" xfId="22" applyBorder="1"/>
    <xf numFmtId="0" fontId="2" fillId="0" borderId="32" xfId="22" applyBorder="1"/>
    <xf numFmtId="0" fontId="2" fillId="0" borderId="29" xfId="22" applyBorder="1"/>
    <xf numFmtId="0" fontId="50" fillId="4" borderId="0" xfId="22" applyFont="1" applyFill="1" applyBorder="1"/>
    <xf numFmtId="0" fontId="2" fillId="4" borderId="0" xfId="22" applyFill="1" applyBorder="1" applyAlignment="1">
      <alignment horizontal="center"/>
    </xf>
    <xf numFmtId="0" fontId="46" fillId="0" borderId="29" xfId="13" applyFont="1" applyBorder="1" applyAlignment="1"/>
    <xf numFmtId="0" fontId="46" fillId="0" borderId="31" xfId="13" applyFont="1" applyBorder="1" applyAlignment="1"/>
    <xf numFmtId="175" fontId="2" fillId="0" borderId="31" xfId="22" applyNumberFormat="1" applyBorder="1"/>
    <xf numFmtId="3" fontId="46" fillId="0" borderId="31" xfId="13" applyNumberFormat="1" applyFont="1" applyBorder="1"/>
    <xf numFmtId="3" fontId="46" fillId="0" borderId="30" xfId="13" applyNumberFormat="1" applyFont="1" applyBorder="1"/>
    <xf numFmtId="0" fontId="2" fillId="0" borderId="36" xfId="22" applyFont="1" applyBorder="1"/>
    <xf numFmtId="0" fontId="2" fillId="0" borderId="36" xfId="22" applyFont="1" applyBorder="1" applyAlignment="1">
      <alignment horizontal="center"/>
    </xf>
    <xf numFmtId="0" fontId="2" fillId="0" borderId="37" xfId="22" applyFont="1" applyBorder="1" applyAlignment="1">
      <alignment horizontal="center"/>
    </xf>
    <xf numFmtId="0" fontId="2" fillId="0" borderId="38" xfId="22" applyFont="1" applyBorder="1" applyAlignment="1">
      <alignment horizontal="center"/>
    </xf>
    <xf numFmtId="0" fontId="2" fillId="0" borderId="39" xfId="22" applyFont="1" applyBorder="1" applyAlignment="1">
      <alignment horizontal="center"/>
    </xf>
    <xf numFmtId="0" fontId="46" fillId="0" borderId="33" xfId="22" applyFont="1" applyBorder="1"/>
    <xf numFmtId="3" fontId="2" fillId="0" borderId="24" xfId="22" applyNumberFormat="1" applyFont="1" applyBorder="1" applyAlignment="1">
      <alignment horizontal="center"/>
    </xf>
    <xf numFmtId="3" fontId="2" fillId="0" borderId="22" xfId="22" applyNumberFormat="1" applyFont="1" applyBorder="1" applyAlignment="1">
      <alignment horizontal="center"/>
    </xf>
    <xf numFmtId="3" fontId="2" fillId="0" borderId="23" xfId="22" applyNumberFormat="1" applyFont="1" applyBorder="1" applyAlignment="1">
      <alignment horizontal="center"/>
    </xf>
    <xf numFmtId="4" fontId="2" fillId="0" borderId="22" xfId="22" applyNumberFormat="1" applyFont="1" applyBorder="1" applyAlignment="1">
      <alignment horizontal="center"/>
    </xf>
    <xf numFmtId="4" fontId="2" fillId="0" borderId="23" xfId="22" applyNumberFormat="1" applyFont="1" applyBorder="1" applyAlignment="1">
      <alignment horizontal="center"/>
    </xf>
    <xf numFmtId="175" fontId="2" fillId="0" borderId="22" xfId="22" applyNumberFormat="1" applyFont="1" applyBorder="1" applyAlignment="1">
      <alignment horizontal="center" vertical="center"/>
    </xf>
    <xf numFmtId="175" fontId="2" fillId="0" borderId="24" xfId="22" applyNumberFormat="1" applyFont="1" applyBorder="1" applyAlignment="1">
      <alignment horizontal="center" vertical="center"/>
    </xf>
    <xf numFmtId="175" fontId="2" fillId="0" borderId="23" xfId="22" applyNumberFormat="1" applyFont="1" applyBorder="1" applyAlignment="1">
      <alignment horizontal="center" vertical="center"/>
    </xf>
    <xf numFmtId="3" fontId="2" fillId="0" borderId="33" xfId="22" applyNumberFormat="1" applyFont="1" applyBorder="1" applyAlignment="1">
      <alignment horizontal="center" vertical="center"/>
    </xf>
    <xf numFmtId="3" fontId="2" fillId="0" borderId="0" xfId="22" applyNumberFormat="1" applyFont="1" applyBorder="1" applyAlignment="1">
      <alignment horizontal="center" vertical="center"/>
    </xf>
    <xf numFmtId="175" fontId="2" fillId="0" borderId="24" xfId="22" applyNumberFormat="1" applyBorder="1" applyAlignment="1">
      <alignment horizontal="center"/>
    </xf>
    <xf numFmtId="3" fontId="2" fillId="0" borderId="0" xfId="22" applyNumberFormat="1" applyBorder="1" applyAlignment="1">
      <alignment horizontal="center"/>
    </xf>
    <xf numFmtId="0" fontId="2" fillId="0" borderId="34" xfId="22" applyBorder="1"/>
    <xf numFmtId="0" fontId="2" fillId="0" borderId="34" xfId="22" applyBorder="1" applyAlignment="1">
      <alignment horizontal="center"/>
    </xf>
    <xf numFmtId="0" fontId="2" fillId="0" borderId="1" xfId="22" applyBorder="1" applyAlignment="1">
      <alignment horizontal="center"/>
    </xf>
    <xf numFmtId="10" fontId="2" fillId="0" borderId="35" xfId="22" applyNumberFormat="1" applyBorder="1" applyAlignment="1">
      <alignment horizontal="center"/>
    </xf>
    <xf numFmtId="0" fontId="2" fillId="0" borderId="34" xfId="22" applyFont="1" applyBorder="1"/>
    <xf numFmtId="0" fontId="2" fillId="0" borderId="1" xfId="22" applyBorder="1"/>
    <xf numFmtId="0" fontId="2" fillId="0" borderId="39" xfId="22" applyBorder="1"/>
    <xf numFmtId="175" fontId="2" fillId="0" borderId="0" xfId="22" applyNumberFormat="1" applyBorder="1"/>
    <xf numFmtId="0" fontId="2" fillId="0" borderId="22" xfId="22" applyFont="1" applyBorder="1"/>
    <xf numFmtId="0" fontId="2" fillId="0" borderId="22" xfId="22" applyFont="1" applyBorder="1" applyAlignment="1">
      <alignment horizontal="center"/>
    </xf>
    <xf numFmtId="0" fontId="2" fillId="0" borderId="23" xfId="22" applyFont="1" applyBorder="1" applyAlignment="1">
      <alignment horizontal="center"/>
    </xf>
    <xf numFmtId="175" fontId="2" fillId="0" borderId="24" xfId="22" applyNumberFormat="1" applyFont="1" applyBorder="1" applyAlignment="1">
      <alignment horizontal="center"/>
    </xf>
    <xf numFmtId="9" fontId="2" fillId="0" borderId="33" xfId="22" applyNumberFormat="1" applyFont="1" applyBorder="1" applyAlignment="1">
      <alignment horizontal="center"/>
    </xf>
    <xf numFmtId="0" fontId="2" fillId="0" borderId="1" xfId="22" applyFont="1" applyBorder="1"/>
    <xf numFmtId="3" fontId="2" fillId="0" borderId="0" xfId="22" applyNumberFormat="1" applyFont="1" applyBorder="1" applyAlignment="1">
      <alignment horizontal="center"/>
    </xf>
    <xf numFmtId="3" fontId="2" fillId="0" borderId="34" xfId="22" applyNumberFormat="1" applyFont="1" applyBorder="1" applyAlignment="1">
      <alignment horizontal="center"/>
    </xf>
    <xf numFmtId="3" fontId="2" fillId="0" borderId="35" xfId="22" applyNumberFormat="1" applyFont="1" applyBorder="1" applyAlignment="1">
      <alignment horizontal="center"/>
    </xf>
    <xf numFmtId="4" fontId="2" fillId="0" borderId="34" xfId="22" applyNumberFormat="1" applyFont="1" applyBorder="1" applyAlignment="1">
      <alignment horizontal="center"/>
    </xf>
    <xf numFmtId="4" fontId="2" fillId="0" borderId="35" xfId="22" applyNumberFormat="1" applyFont="1" applyBorder="1" applyAlignment="1">
      <alignment horizontal="center"/>
    </xf>
    <xf numFmtId="0" fontId="2" fillId="0" borderId="34" xfId="22" applyFont="1" applyBorder="1" applyAlignment="1">
      <alignment vertical="center"/>
    </xf>
    <xf numFmtId="175" fontId="2" fillId="0" borderId="34" xfId="22" applyNumberFormat="1" applyFont="1" applyBorder="1" applyAlignment="1">
      <alignment horizontal="center" vertical="center"/>
    </xf>
    <xf numFmtId="175" fontId="2" fillId="0" borderId="0" xfId="22" applyNumberFormat="1" applyFont="1" applyBorder="1" applyAlignment="1">
      <alignment horizontal="center" vertical="center"/>
    </xf>
    <xf numFmtId="175" fontId="2" fillId="0" borderId="35" xfId="22" applyNumberFormat="1" applyFont="1" applyBorder="1" applyAlignment="1">
      <alignment horizontal="center" vertical="center"/>
    </xf>
    <xf numFmtId="3" fontId="2" fillId="0" borderId="1" xfId="22" applyNumberFormat="1" applyFont="1" applyBorder="1" applyAlignment="1">
      <alignment horizontal="center" vertical="center"/>
    </xf>
    <xf numFmtId="175" fontId="2" fillId="0" borderId="0" xfId="22" applyNumberFormat="1" applyBorder="1" applyAlignment="1">
      <alignment horizontal="center"/>
    </xf>
    <xf numFmtId="3" fontId="2" fillId="0" borderId="35" xfId="22" applyNumberFormat="1" applyBorder="1" applyAlignment="1">
      <alignment horizontal="center"/>
    </xf>
    <xf numFmtId="0" fontId="2" fillId="0" borderId="1" xfId="22" applyFill="1" applyBorder="1"/>
    <xf numFmtId="0" fontId="2" fillId="0" borderId="34" xfId="22" applyFont="1" applyBorder="1" applyAlignment="1">
      <alignment horizontal="center"/>
    </xf>
    <xf numFmtId="0" fontId="2" fillId="0" borderId="35" xfId="22" applyFont="1" applyBorder="1" applyAlignment="1">
      <alignment horizontal="center"/>
    </xf>
    <xf numFmtId="175" fontId="2" fillId="0" borderId="0" xfId="22" applyNumberFormat="1" applyFont="1" applyBorder="1" applyAlignment="1">
      <alignment horizontal="center"/>
    </xf>
    <xf numFmtId="9" fontId="2" fillId="0" borderId="1" xfId="22" applyNumberFormat="1" applyFont="1" applyBorder="1" applyAlignment="1">
      <alignment horizontal="center"/>
    </xf>
    <xf numFmtId="0" fontId="2" fillId="0" borderId="1" xfId="22" applyFont="1" applyBorder="1" applyAlignment="1">
      <alignment horizontal="center" vertical="center"/>
    </xf>
    <xf numFmtId="9" fontId="2" fillId="0" borderId="35" xfId="22" applyNumberFormat="1" applyBorder="1" applyAlignment="1">
      <alignment horizontal="center"/>
    </xf>
    <xf numFmtId="0" fontId="2" fillId="0" borderId="36" xfId="22" applyBorder="1"/>
    <xf numFmtId="0" fontId="2" fillId="0" borderId="36" xfId="22" applyBorder="1" applyAlignment="1">
      <alignment horizontal="center"/>
    </xf>
    <xf numFmtId="0" fontId="2" fillId="0" borderId="39" xfId="22" applyBorder="1" applyAlignment="1">
      <alignment horizontal="center"/>
    </xf>
    <xf numFmtId="10" fontId="2" fillId="0" borderId="37" xfId="22" applyNumberFormat="1" applyBorder="1" applyAlignment="1">
      <alignment horizontal="center"/>
    </xf>
    <xf numFmtId="0" fontId="2" fillId="0" borderId="34" xfId="22" applyFont="1" applyFill="1" applyBorder="1"/>
    <xf numFmtId="0" fontId="2" fillId="0" borderId="34" xfId="22" applyFont="1" applyFill="1" applyBorder="1" applyAlignment="1">
      <alignment horizontal="center"/>
    </xf>
    <xf numFmtId="0" fontId="2" fillId="0" borderId="35" xfId="22" applyFont="1" applyFill="1" applyBorder="1" applyAlignment="1">
      <alignment horizontal="center"/>
    </xf>
    <xf numFmtId="175" fontId="2" fillId="0" borderId="0" xfId="22" applyNumberFormat="1" applyFont="1" applyFill="1" applyBorder="1" applyAlignment="1">
      <alignment horizontal="center"/>
    </xf>
    <xf numFmtId="9" fontId="2" fillId="0" borderId="1" xfId="22" applyNumberFormat="1" applyFont="1" applyFill="1" applyBorder="1" applyAlignment="1">
      <alignment horizontal="center"/>
    </xf>
    <xf numFmtId="0" fontId="2" fillId="0" borderId="1" xfId="22" applyFont="1" applyFill="1" applyBorder="1"/>
    <xf numFmtId="3" fontId="2" fillId="0" borderId="0" xfId="22" applyNumberFormat="1" applyFont="1" applyFill="1" applyBorder="1" applyAlignment="1">
      <alignment horizontal="center"/>
    </xf>
    <xf numFmtId="3" fontId="2" fillId="0" borderId="34" xfId="22" applyNumberFormat="1" applyFont="1" applyFill="1" applyBorder="1" applyAlignment="1">
      <alignment horizontal="center"/>
    </xf>
    <xf numFmtId="3" fontId="2" fillId="0" borderId="35" xfId="22" applyNumberFormat="1" applyFont="1" applyFill="1" applyBorder="1" applyAlignment="1">
      <alignment horizontal="center"/>
    </xf>
    <xf numFmtId="4" fontId="2" fillId="0" borderId="34" xfId="22" applyNumberFormat="1" applyFont="1" applyFill="1" applyBorder="1" applyAlignment="1">
      <alignment horizontal="center"/>
    </xf>
    <xf numFmtId="4" fontId="2" fillId="0" borderId="35" xfId="22" applyNumberFormat="1" applyFont="1" applyFill="1" applyBorder="1" applyAlignment="1">
      <alignment horizontal="center"/>
    </xf>
    <xf numFmtId="0" fontId="2" fillId="0" borderId="34" xfId="22" applyFont="1" applyFill="1" applyBorder="1" applyAlignment="1">
      <alignment vertical="center"/>
    </xf>
    <xf numFmtId="175" fontId="2" fillId="0" borderId="34" xfId="22" applyNumberFormat="1" applyFont="1" applyFill="1" applyBorder="1" applyAlignment="1">
      <alignment horizontal="center" vertical="center"/>
    </xf>
    <xf numFmtId="175" fontId="2" fillId="0" borderId="0" xfId="22" applyNumberFormat="1" applyFont="1" applyFill="1" applyBorder="1" applyAlignment="1">
      <alignment horizontal="center" vertical="center"/>
    </xf>
    <xf numFmtId="175" fontId="2" fillId="0" borderId="35" xfId="22" applyNumberFormat="1" applyFont="1" applyFill="1" applyBorder="1" applyAlignment="1">
      <alignment horizontal="center" vertical="center"/>
    </xf>
    <xf numFmtId="0" fontId="2" fillId="0" borderId="1" xfId="22" applyFont="1" applyFill="1" applyBorder="1" applyAlignment="1">
      <alignment horizontal="center" vertical="center"/>
    </xf>
    <xf numFmtId="0" fontId="2" fillId="0" borderId="0" xfId="22" applyFont="1" applyFill="1" applyBorder="1" applyAlignment="1">
      <alignment horizontal="center" vertical="center"/>
    </xf>
    <xf numFmtId="0" fontId="2" fillId="0" borderId="34" xfId="22" applyFill="1" applyBorder="1"/>
    <xf numFmtId="175" fontId="2" fillId="0" borderId="0" xfId="22" applyNumberFormat="1" applyFill="1" applyBorder="1" applyAlignment="1">
      <alignment horizontal="center"/>
    </xf>
    <xf numFmtId="3" fontId="2" fillId="0" borderId="35" xfId="22" applyNumberFormat="1" applyFill="1" applyBorder="1" applyAlignment="1">
      <alignment horizontal="center"/>
    </xf>
    <xf numFmtId="3" fontId="2" fillId="0" borderId="0" xfId="22" applyNumberFormat="1" applyFill="1" applyBorder="1" applyAlignment="1">
      <alignment horizontal="center"/>
    </xf>
    <xf numFmtId="0" fontId="2" fillId="0" borderId="0" xfId="22" applyFill="1" applyBorder="1"/>
    <xf numFmtId="0" fontId="2" fillId="0" borderId="39" xfId="22" applyFont="1" applyBorder="1"/>
    <xf numFmtId="3" fontId="2" fillId="0" borderId="38" xfId="22" applyNumberFormat="1" applyFont="1" applyBorder="1" applyAlignment="1">
      <alignment horizontal="center"/>
    </xf>
    <xf numFmtId="3" fontId="2" fillId="0" borderId="36" xfId="22" applyNumberFormat="1" applyFont="1" applyBorder="1" applyAlignment="1">
      <alignment horizontal="center"/>
    </xf>
    <xf numFmtId="3" fontId="2" fillId="0" borderId="37" xfId="22" applyNumberFormat="1" applyFont="1" applyBorder="1" applyAlignment="1">
      <alignment horizontal="center"/>
    </xf>
    <xf numFmtId="4" fontId="2" fillId="0" borderId="36" xfId="22" applyNumberFormat="1" applyFont="1" applyBorder="1" applyAlignment="1">
      <alignment horizontal="center"/>
    </xf>
    <xf numFmtId="4" fontId="2" fillId="0" borderId="37" xfId="22" applyNumberFormat="1" applyFont="1" applyBorder="1" applyAlignment="1">
      <alignment horizontal="center"/>
    </xf>
    <xf numFmtId="0" fontId="2" fillId="0" borderId="36" xfId="22" applyFont="1" applyBorder="1" applyAlignment="1">
      <alignment vertical="center"/>
    </xf>
    <xf numFmtId="175" fontId="2" fillId="0" borderId="36" xfId="22" applyNumberFormat="1" applyFont="1" applyBorder="1" applyAlignment="1">
      <alignment horizontal="center" vertical="center"/>
    </xf>
    <xf numFmtId="175" fontId="2" fillId="0" borderId="38" xfId="22" applyNumberFormat="1" applyFont="1" applyBorder="1" applyAlignment="1">
      <alignment horizontal="center" vertical="center"/>
    </xf>
    <xf numFmtId="175" fontId="2" fillId="0" borderId="37" xfId="22" applyNumberFormat="1" applyFont="1" applyBorder="1" applyAlignment="1">
      <alignment horizontal="center" vertical="center"/>
    </xf>
    <xf numFmtId="3" fontId="2" fillId="0" borderId="39" xfId="22" applyNumberFormat="1" applyFont="1" applyBorder="1" applyAlignment="1">
      <alignment horizontal="center" vertical="center"/>
    </xf>
    <xf numFmtId="175" fontId="2" fillId="0" borderId="38" xfId="22" applyNumberFormat="1" applyFont="1" applyBorder="1" applyAlignment="1">
      <alignment horizontal="center"/>
    </xf>
    <xf numFmtId="9" fontId="2" fillId="0" borderId="39" xfId="22" applyNumberFormat="1" applyFont="1" applyBorder="1" applyAlignment="1">
      <alignment horizontal="center"/>
    </xf>
    <xf numFmtId="0" fontId="46" fillId="0" borderId="0" xfId="22" applyFont="1"/>
    <xf numFmtId="0" fontId="2" fillId="0" borderId="0" xfId="22" applyFont="1" applyFill="1" applyBorder="1" applyAlignment="1">
      <alignment vertical="center"/>
    </xf>
    <xf numFmtId="0" fontId="2" fillId="0" borderId="0" xfId="22" applyFont="1" applyFill="1" applyBorder="1"/>
    <xf numFmtId="0" fontId="2" fillId="0" borderId="0" xfId="22" applyFont="1" applyFill="1"/>
    <xf numFmtId="0" fontId="2" fillId="0" borderId="36" xfId="22" applyFill="1" applyBorder="1"/>
    <xf numFmtId="175" fontId="2" fillId="0" borderId="38" xfId="22" applyNumberFormat="1" applyFill="1" applyBorder="1" applyAlignment="1">
      <alignment horizontal="center"/>
    </xf>
    <xf numFmtId="3" fontId="2" fillId="0" borderId="37" xfId="22" applyNumberFormat="1" applyFill="1" applyBorder="1" applyAlignment="1">
      <alignment horizontal="center"/>
    </xf>
    <xf numFmtId="0" fontId="2" fillId="0" borderId="22" xfId="22" applyFill="1" applyBorder="1"/>
    <xf numFmtId="175" fontId="2" fillId="0" borderId="24" xfId="22" applyNumberFormat="1" applyFill="1" applyBorder="1" applyAlignment="1">
      <alignment horizontal="center"/>
    </xf>
    <xf numFmtId="3" fontId="2" fillId="0" borderId="23" xfId="22" applyNumberFormat="1" applyFill="1" applyBorder="1" applyAlignment="1">
      <alignment horizontal="center"/>
    </xf>
    <xf numFmtId="0" fontId="2" fillId="4" borderId="3" xfId="22" applyFill="1" applyBorder="1"/>
    <xf numFmtId="0" fontId="55" fillId="4" borderId="38" xfId="22" applyFont="1" applyFill="1" applyBorder="1"/>
    <xf numFmtId="0" fontId="55" fillId="4" borderId="38" xfId="22" applyFont="1" applyFill="1" applyBorder="1" applyAlignment="1">
      <alignment horizontal="center"/>
    </xf>
    <xf numFmtId="0" fontId="56" fillId="4" borderId="38" xfId="22" applyFont="1" applyFill="1" applyBorder="1"/>
    <xf numFmtId="0" fontId="56" fillId="4" borderId="8" xfId="22" applyFont="1" applyFill="1" applyBorder="1"/>
    <xf numFmtId="3" fontId="56" fillId="4" borderId="0" xfId="22" applyNumberFormat="1" applyFont="1" applyFill="1" applyBorder="1" applyAlignment="1">
      <alignment horizontal="center" vertical="top" wrapText="1"/>
    </xf>
    <xf numFmtId="0" fontId="56" fillId="4" borderId="0" xfId="22" applyFont="1" applyFill="1" applyBorder="1" applyAlignment="1">
      <alignment vertical="top" wrapText="1"/>
    </xf>
    <xf numFmtId="0" fontId="56" fillId="4" borderId="8" xfId="22" applyFont="1" applyFill="1" applyBorder="1" applyAlignment="1">
      <alignment vertical="top" wrapText="1"/>
    </xf>
    <xf numFmtId="175" fontId="56" fillId="4" borderId="0" xfId="22" applyNumberFormat="1" applyFont="1" applyFill="1" applyBorder="1" applyAlignment="1">
      <alignment horizontal="center" vertical="top" wrapText="1"/>
    </xf>
    <xf numFmtId="0" fontId="56" fillId="4" borderId="0" xfId="22" applyFont="1" applyFill="1" applyBorder="1" applyAlignment="1">
      <alignment horizontal="center" vertical="top" wrapText="1"/>
    </xf>
    <xf numFmtId="9" fontId="56" fillId="4" borderId="0" xfId="22" applyNumberFormat="1" applyFont="1" applyFill="1" applyBorder="1" applyAlignment="1">
      <alignment horizontal="center" vertical="top" wrapText="1"/>
    </xf>
    <xf numFmtId="175" fontId="2" fillId="0" borderId="0" xfId="22" applyNumberFormat="1" applyFill="1"/>
    <xf numFmtId="175" fontId="56" fillId="4" borderId="0" xfId="22" quotePrefix="1" applyNumberFormat="1" applyFont="1" applyFill="1" applyBorder="1" applyAlignment="1">
      <alignment horizontal="center" vertical="top" wrapText="1"/>
    </xf>
    <xf numFmtId="175" fontId="56" fillId="4" borderId="9" xfId="22" quotePrefix="1" applyNumberFormat="1" applyFont="1" applyFill="1" applyBorder="1" applyAlignment="1">
      <alignment horizontal="center" vertical="top" wrapText="1"/>
    </xf>
    <xf numFmtId="0" fontId="56" fillId="4" borderId="9" xfId="22" applyFont="1" applyFill="1" applyBorder="1" applyAlignment="1">
      <alignment vertical="top" wrapText="1"/>
    </xf>
    <xf numFmtId="0" fontId="2" fillId="4" borderId="4" xfId="22" applyFont="1" applyFill="1" applyBorder="1" applyAlignment="1">
      <alignment vertical="top" wrapText="1"/>
    </xf>
    <xf numFmtId="0" fontId="56" fillId="0" borderId="0" xfId="22" applyFont="1"/>
    <xf numFmtId="0" fontId="56" fillId="0" borderId="0" xfId="22" applyFont="1" applyBorder="1"/>
    <xf numFmtId="3" fontId="44" fillId="0" borderId="0" xfId="22" applyNumberFormat="1" applyFont="1" applyBorder="1"/>
    <xf numFmtId="3" fontId="31" fillId="0" borderId="15" xfId="22" applyNumberFormat="1" applyFont="1" applyBorder="1"/>
    <xf numFmtId="3" fontId="31" fillId="0" borderId="16" xfId="22" applyNumberFormat="1" applyFont="1" applyBorder="1"/>
    <xf numFmtId="0" fontId="31" fillId="0" borderId="16" xfId="22" applyFont="1" applyBorder="1" applyAlignment="1">
      <alignment horizontal="center"/>
    </xf>
    <xf numFmtId="0" fontId="31" fillId="0" borderId="17" xfId="22" applyFont="1" applyBorder="1"/>
    <xf numFmtId="0" fontId="2" fillId="0" borderId="7" xfId="22" applyBorder="1"/>
    <xf numFmtId="0" fontId="2" fillId="0" borderId="8" xfId="22" applyBorder="1"/>
    <xf numFmtId="0" fontId="2" fillId="0" borderId="3" xfId="22" applyBorder="1"/>
    <xf numFmtId="0" fontId="2" fillId="0" borderId="9" xfId="22" applyBorder="1"/>
    <xf numFmtId="0" fontId="2" fillId="0" borderId="9" xfId="22" applyBorder="1" applyAlignment="1">
      <alignment horizontal="center"/>
    </xf>
    <xf numFmtId="0" fontId="2" fillId="0" borderId="4" xfId="22" applyBorder="1"/>
    <xf numFmtId="0" fontId="46" fillId="0" borderId="2" xfId="22" applyFont="1" applyBorder="1"/>
    <xf numFmtId="0" fontId="52" fillId="0" borderId="5" xfId="22" applyFont="1" applyBorder="1"/>
    <xf numFmtId="3" fontId="2" fillId="0" borderId="5" xfId="22" applyNumberFormat="1" applyBorder="1" applyAlignment="1">
      <alignment horizontal="center"/>
    </xf>
    <xf numFmtId="0" fontId="2" fillId="0" borderId="5" xfId="22" applyBorder="1"/>
    <xf numFmtId="3" fontId="56" fillId="0" borderId="5" xfId="22" applyNumberFormat="1" applyFont="1" applyBorder="1" applyAlignment="1">
      <alignment horizontal="center"/>
    </xf>
    <xf numFmtId="0" fontId="56" fillId="0" borderId="5" xfId="22" applyFont="1" applyBorder="1"/>
    <xf numFmtId="3" fontId="56" fillId="0" borderId="6" xfId="22" applyNumberFormat="1" applyFont="1" applyBorder="1" applyAlignment="1">
      <alignment horizontal="center"/>
    </xf>
    <xf numFmtId="0" fontId="46" fillId="0" borderId="7" xfId="22" applyFont="1" applyBorder="1"/>
    <xf numFmtId="0" fontId="52" fillId="0" borderId="0" xfId="22" applyFont="1" applyBorder="1"/>
    <xf numFmtId="3" fontId="56" fillId="0" borderId="0" xfId="22" applyNumberFormat="1" applyFont="1" applyBorder="1" applyAlignment="1">
      <alignment horizontal="center"/>
    </xf>
    <xf numFmtId="3" fontId="56" fillId="0" borderId="8" xfId="22" applyNumberFormat="1" applyFont="1" applyBorder="1" applyAlignment="1">
      <alignment horizontal="center"/>
    </xf>
    <xf numFmtId="3" fontId="2" fillId="0" borderId="9" xfId="22" applyNumberFormat="1" applyBorder="1" applyAlignment="1">
      <alignment horizontal="center"/>
    </xf>
    <xf numFmtId="3" fontId="56" fillId="0" borderId="9" xfId="22" applyNumberFormat="1" applyFont="1" applyBorder="1" applyAlignment="1">
      <alignment horizontal="center"/>
    </xf>
    <xf numFmtId="0" fontId="56" fillId="0" borderId="9" xfId="22" applyFont="1" applyBorder="1"/>
    <xf numFmtId="3" fontId="56" fillId="0" borderId="4" xfId="22" applyNumberFormat="1" applyFont="1" applyBorder="1" applyAlignment="1">
      <alignment horizontal="center"/>
    </xf>
    <xf numFmtId="0" fontId="2" fillId="0" borderId="2" xfId="22" applyBorder="1"/>
    <xf numFmtId="0" fontId="2" fillId="0" borderId="5" xfId="22" applyBorder="1" applyAlignment="1">
      <alignment horizontal="center"/>
    </xf>
    <xf numFmtId="0" fontId="2" fillId="0" borderId="6" xfId="22" quotePrefix="1" applyBorder="1"/>
    <xf numFmtId="0" fontId="46" fillId="0" borderId="36" xfId="13" applyFont="1" applyBorder="1" applyAlignment="1"/>
    <xf numFmtId="175" fontId="2" fillId="0" borderId="38" xfId="22" applyNumberFormat="1" applyBorder="1"/>
    <xf numFmtId="0" fontId="2" fillId="0" borderId="15" xfId="22" applyBorder="1"/>
    <xf numFmtId="0" fontId="2" fillId="0" borderId="16" xfId="22" applyBorder="1"/>
    <xf numFmtId="3" fontId="2" fillId="0" borderId="16" xfId="22" applyNumberFormat="1" applyBorder="1" applyAlignment="1">
      <alignment horizontal="center"/>
    </xf>
    <xf numFmtId="0" fontId="2" fillId="0" borderId="17" xfId="22" applyBorder="1"/>
    <xf numFmtId="3" fontId="2" fillId="0" borderId="2" xfId="22" applyNumberFormat="1" applyBorder="1" applyAlignment="1">
      <alignment vertical="center"/>
    </xf>
    <xf numFmtId="3" fontId="2" fillId="0" borderId="5" xfId="22" applyNumberFormat="1" applyBorder="1" applyAlignment="1">
      <alignment vertical="center"/>
    </xf>
    <xf numFmtId="175" fontId="2" fillId="0" borderId="5" xfId="22" applyNumberFormat="1" applyBorder="1" applyAlignment="1">
      <alignment horizontal="center" vertical="center"/>
    </xf>
    <xf numFmtId="0" fontId="2" fillId="0" borderId="6" xfId="22" applyBorder="1" applyAlignment="1">
      <alignment vertical="center"/>
    </xf>
    <xf numFmtId="0" fontId="56" fillId="0" borderId="0" xfId="22" applyFont="1" applyFill="1"/>
    <xf numFmtId="3" fontId="2" fillId="0" borderId="7" xfId="22" applyNumberFormat="1" applyBorder="1" applyAlignment="1">
      <alignment vertical="center"/>
    </xf>
    <xf numFmtId="3" fontId="2" fillId="0" borderId="0" xfId="22" applyNumberFormat="1" applyBorder="1" applyAlignment="1">
      <alignment vertical="center"/>
    </xf>
    <xf numFmtId="175" fontId="2" fillId="0" borderId="0" xfId="22" applyNumberFormat="1" applyBorder="1" applyAlignment="1">
      <alignment horizontal="center" vertical="center"/>
    </xf>
    <xf numFmtId="0" fontId="2" fillId="0" borderId="8" xfId="22" applyBorder="1" applyAlignment="1">
      <alignment vertical="center"/>
    </xf>
    <xf numFmtId="3" fontId="2" fillId="0" borderId="3" xfId="22" applyNumberFormat="1" applyBorder="1" applyAlignment="1">
      <alignment vertical="center"/>
    </xf>
    <xf numFmtId="3" fontId="2" fillId="0" borderId="9" xfId="22" applyNumberFormat="1" applyBorder="1" applyAlignment="1">
      <alignment vertical="center"/>
    </xf>
    <xf numFmtId="175" fontId="2" fillId="0" borderId="9" xfId="22" applyNumberFormat="1" applyBorder="1" applyAlignment="1">
      <alignment horizontal="center" vertical="center"/>
    </xf>
    <xf numFmtId="0" fontId="2" fillId="0" borderId="4" xfId="22" applyBorder="1" applyAlignment="1">
      <alignment vertical="center"/>
    </xf>
    <xf numFmtId="0" fontId="31" fillId="0" borderId="0" xfId="22" applyFont="1" applyFill="1"/>
    <xf numFmtId="3" fontId="56" fillId="0" borderId="0" xfId="22" applyNumberFormat="1" applyFont="1" applyFill="1"/>
    <xf numFmtId="176" fontId="2" fillId="0" borderId="0" xfId="22" applyNumberFormat="1" applyBorder="1" applyAlignment="1">
      <alignment horizontal="center" vertical="center"/>
    </xf>
    <xf numFmtId="176" fontId="2" fillId="0" borderId="9" xfId="22" applyNumberFormat="1" applyBorder="1" applyAlignment="1">
      <alignment horizontal="center" vertical="center"/>
    </xf>
    <xf numFmtId="3" fontId="2" fillId="0" borderId="5" xfId="22" applyNumberFormat="1" applyBorder="1" applyAlignment="1">
      <alignment horizontal="center" vertical="center"/>
    </xf>
    <xf numFmtId="2" fontId="56" fillId="0" borderId="0" xfId="22" applyNumberFormat="1" applyFont="1" applyFill="1"/>
    <xf numFmtId="0" fontId="56" fillId="0" borderId="0" xfId="22" applyFont="1" applyFill="1" applyAlignment="1">
      <alignment horizontal="center"/>
    </xf>
    <xf numFmtId="175" fontId="2" fillId="0" borderId="38" xfId="22" applyNumberFormat="1" applyBorder="1" applyAlignment="1">
      <alignment horizontal="center"/>
    </xf>
    <xf numFmtId="3" fontId="2" fillId="0" borderId="37" xfId="22" applyNumberFormat="1" applyBorder="1" applyAlignment="1">
      <alignment horizontal="center"/>
    </xf>
    <xf numFmtId="3" fontId="2" fillId="0" borderId="40" xfId="22" applyNumberFormat="1" applyBorder="1"/>
    <xf numFmtId="3" fontId="2" fillId="0" borderId="28" xfId="22" applyNumberFormat="1" applyBorder="1"/>
    <xf numFmtId="4" fontId="2" fillId="0" borderId="28" xfId="22" applyNumberFormat="1" applyFill="1" applyBorder="1" applyAlignment="1">
      <alignment horizontal="center"/>
    </xf>
    <xf numFmtId="0" fontId="2" fillId="0" borderId="28" xfId="22" applyFont="1" applyBorder="1"/>
    <xf numFmtId="4" fontId="2" fillId="0" borderId="28" xfId="22" applyNumberFormat="1" applyBorder="1" applyAlignment="1">
      <alignment horizontal="center"/>
    </xf>
    <xf numFmtId="0" fontId="2" fillId="0" borderId="28" xfId="22" applyBorder="1"/>
    <xf numFmtId="4" fontId="56" fillId="0" borderId="28" xfId="22" applyNumberFormat="1" applyFont="1" applyBorder="1" applyAlignment="1">
      <alignment horizontal="center"/>
    </xf>
    <xf numFmtId="0" fontId="56" fillId="0" borderId="28" xfId="22" applyFont="1" applyBorder="1"/>
    <xf numFmtId="4" fontId="56" fillId="0" borderId="41" xfId="22" applyNumberFormat="1" applyFont="1" applyBorder="1" applyAlignment="1">
      <alignment horizontal="center"/>
    </xf>
    <xf numFmtId="3" fontId="2" fillId="0" borderId="42" xfId="22" applyNumberFormat="1" applyBorder="1"/>
    <xf numFmtId="3" fontId="2" fillId="0" borderId="31" xfId="22" applyNumberFormat="1" applyBorder="1"/>
    <xf numFmtId="3" fontId="2" fillId="0" borderId="31" xfId="22" applyNumberFormat="1" applyBorder="1" applyAlignment="1">
      <alignment horizontal="center"/>
    </xf>
    <xf numFmtId="0" fontId="2" fillId="0" borderId="31" xfId="22" applyBorder="1"/>
    <xf numFmtId="3" fontId="56" fillId="0" borderId="31" xfId="22" applyNumberFormat="1" applyFont="1" applyBorder="1" applyAlignment="1">
      <alignment horizontal="center"/>
    </xf>
    <xf numFmtId="3" fontId="56" fillId="0" borderId="43" xfId="22" applyNumberFormat="1" applyFont="1" applyBorder="1" applyAlignment="1">
      <alignment horizontal="center"/>
    </xf>
    <xf numFmtId="3" fontId="2" fillId="0" borderId="7" xfId="22" applyNumberFormat="1" applyBorder="1"/>
    <xf numFmtId="3" fontId="2" fillId="0" borderId="0" xfId="22" applyNumberFormat="1" applyBorder="1"/>
    <xf numFmtId="3" fontId="2" fillId="0" borderId="3" xfId="22" applyNumberFormat="1" applyBorder="1"/>
    <xf numFmtId="3" fontId="2" fillId="0" borderId="9" xfId="22" applyNumberFormat="1" applyBorder="1"/>
    <xf numFmtId="3" fontId="2" fillId="0" borderId="28" xfId="22" applyNumberFormat="1" applyBorder="1" applyAlignment="1">
      <alignment horizontal="center"/>
    </xf>
    <xf numFmtId="3" fontId="2" fillId="0" borderId="28" xfId="22" applyNumberFormat="1" applyFont="1" applyBorder="1"/>
    <xf numFmtId="3" fontId="56" fillId="0" borderId="28" xfId="22" applyNumberFormat="1" applyFont="1" applyBorder="1" applyAlignment="1">
      <alignment horizontal="center"/>
    </xf>
    <xf numFmtId="3" fontId="56" fillId="0" borderId="28" xfId="22" applyNumberFormat="1" applyFont="1" applyBorder="1"/>
    <xf numFmtId="3" fontId="56" fillId="0" borderId="41" xfId="22" applyNumberFormat="1" applyFont="1" applyBorder="1" applyAlignment="1">
      <alignment horizontal="center"/>
    </xf>
    <xf numFmtId="3" fontId="2" fillId="0" borderId="2" xfId="22" applyNumberFormat="1" applyBorder="1"/>
    <xf numFmtId="3" fontId="2" fillId="0" borderId="5" xfId="22" applyNumberFormat="1" applyBorder="1"/>
    <xf numFmtId="4" fontId="2" fillId="0" borderId="5" xfId="22" applyNumberFormat="1" applyBorder="1" applyAlignment="1">
      <alignment horizontal="center"/>
    </xf>
    <xf numFmtId="4" fontId="56" fillId="0" borderId="5" xfId="22" applyNumberFormat="1" applyFont="1" applyBorder="1" applyAlignment="1">
      <alignment horizontal="center"/>
    </xf>
    <xf numFmtId="4" fontId="56" fillId="0" borderId="6" xfId="22" applyNumberFormat="1" applyFont="1" applyBorder="1" applyAlignment="1">
      <alignment horizontal="center"/>
    </xf>
    <xf numFmtId="4" fontId="2" fillId="0" borderId="0" xfId="22" applyNumberFormat="1" applyBorder="1" applyAlignment="1">
      <alignment horizontal="center"/>
    </xf>
    <xf numFmtId="4" fontId="56" fillId="0" borderId="0" xfId="22" applyNumberFormat="1" applyFont="1" applyBorder="1" applyAlignment="1">
      <alignment horizontal="center"/>
    </xf>
    <xf numFmtId="4" fontId="56" fillId="0" borderId="8" xfId="22" applyNumberFormat="1" applyFont="1" applyBorder="1" applyAlignment="1">
      <alignment horizontal="center"/>
    </xf>
    <xf numFmtId="4" fontId="2" fillId="0" borderId="9" xfId="22" applyNumberFormat="1" applyBorder="1" applyAlignment="1">
      <alignment horizontal="center"/>
    </xf>
    <xf numFmtId="4" fontId="56" fillId="0" borderId="9" xfId="22" applyNumberFormat="1" applyFont="1" applyBorder="1" applyAlignment="1">
      <alignment horizontal="center"/>
    </xf>
    <xf numFmtId="4" fontId="56" fillId="0" borderId="4" xfId="22" applyNumberFormat="1" applyFont="1" applyBorder="1" applyAlignment="1">
      <alignment horizontal="center"/>
    </xf>
    <xf numFmtId="0" fontId="35" fillId="0" borderId="0" xfId="22" applyFont="1" applyAlignment="1">
      <alignment horizontal="center"/>
    </xf>
    <xf numFmtId="175" fontId="30" fillId="0" borderId="0" xfId="24" applyNumberFormat="1" applyFont="1" applyBorder="1" applyAlignment="1">
      <alignment horizontal="center"/>
    </xf>
    <xf numFmtId="3" fontId="30" fillId="0" borderId="35" xfId="24" applyNumberFormat="1" applyFont="1" applyBorder="1" applyAlignment="1">
      <alignment horizontal="center"/>
    </xf>
    <xf numFmtId="0" fontId="2" fillId="0" borderId="0" xfId="24"/>
    <xf numFmtId="0" fontId="2" fillId="0" borderId="24" xfId="24" applyBorder="1" applyAlignment="1">
      <alignment horizontal="center"/>
    </xf>
    <xf numFmtId="3" fontId="2" fillId="0" borderId="23" xfId="24" applyNumberFormat="1" applyBorder="1" applyAlignment="1">
      <alignment horizontal="center"/>
    </xf>
    <xf numFmtId="0" fontId="30" fillId="0" borderId="0" xfId="25" applyFont="1"/>
    <xf numFmtId="0" fontId="30" fillId="0" borderId="0" xfId="25" applyFont="1" applyAlignment="1">
      <alignment horizontal="center"/>
    </xf>
    <xf numFmtId="0" fontId="30" fillId="0" borderId="0" xfId="24" applyFont="1"/>
    <xf numFmtId="0" fontId="30" fillId="0" borderId="0" xfId="24" applyFont="1" applyAlignment="1">
      <alignment horizontal="center"/>
    </xf>
    <xf numFmtId="175" fontId="30" fillId="0" borderId="0" xfId="25" applyNumberFormat="1" applyFont="1" applyAlignment="1">
      <alignment horizontal="center"/>
    </xf>
    <xf numFmtId="3" fontId="30" fillId="0" borderId="0" xfId="25" applyNumberFormat="1" applyFont="1" applyAlignment="1">
      <alignment horizontal="center"/>
    </xf>
    <xf numFmtId="0" fontId="30" fillId="0" borderId="0" xfId="22" applyFont="1"/>
    <xf numFmtId="0" fontId="0" fillId="0" borderId="32" xfId="0" applyBorder="1"/>
    <xf numFmtId="0" fontId="0" fillId="0" borderId="1" xfId="0" applyBorder="1"/>
    <xf numFmtId="0" fontId="0" fillId="0" borderId="1" xfId="0" applyFill="1" applyBorder="1"/>
    <xf numFmtId="0" fontId="0" fillId="0" borderId="39" xfId="0" applyBorder="1"/>
    <xf numFmtId="0" fontId="0" fillId="0" borderId="33" xfId="0" applyBorder="1"/>
    <xf numFmtId="0" fontId="0" fillId="0" borderId="33" xfId="0" applyFill="1" applyBorder="1"/>
    <xf numFmtId="0" fontId="0" fillId="0" borderId="29" xfId="0" applyBorder="1"/>
    <xf numFmtId="0" fontId="69" fillId="0" borderId="32" xfId="0" applyFont="1" applyBorder="1"/>
    <xf numFmtId="0" fontId="69" fillId="0" borderId="1" xfId="0" applyFont="1" applyBorder="1"/>
    <xf numFmtId="0" fontId="69" fillId="0" borderId="39" xfId="0" applyFont="1" applyBorder="1"/>
    <xf numFmtId="0" fontId="2" fillId="9" borderId="2" xfId="22" applyFill="1" applyBorder="1" applyAlignment="1">
      <alignment vertical="center"/>
    </xf>
    <xf numFmtId="0" fontId="43" fillId="9" borderId="28" xfId="22" applyFont="1" applyFill="1" applyBorder="1" applyAlignment="1">
      <alignment vertical="center"/>
    </xf>
    <xf numFmtId="0" fontId="2" fillId="9" borderId="28" xfId="22" applyFill="1" applyBorder="1" applyAlignment="1">
      <alignment vertical="center"/>
    </xf>
    <xf numFmtId="0" fontId="2" fillId="9" borderId="6" xfId="22" applyFill="1" applyBorder="1" applyAlignment="1">
      <alignment vertical="center"/>
    </xf>
    <xf numFmtId="0" fontId="2" fillId="9" borderId="7" xfId="22" applyFill="1" applyBorder="1"/>
    <xf numFmtId="0" fontId="2" fillId="9" borderId="0" xfId="22" applyFill="1" applyBorder="1"/>
    <xf numFmtId="0" fontId="44" fillId="9" borderId="0" xfId="22" applyFont="1" applyFill="1" applyBorder="1"/>
    <xf numFmtId="0" fontId="2" fillId="9" borderId="8" xfId="22" applyFill="1" applyBorder="1"/>
    <xf numFmtId="0" fontId="50" fillId="9" borderId="0" xfId="22" applyFont="1" applyFill="1" applyBorder="1"/>
    <xf numFmtId="0" fontId="2" fillId="9" borderId="0" xfId="22" applyFill="1" applyBorder="1" applyAlignment="1">
      <alignment horizontal="center"/>
    </xf>
    <xf numFmtId="0" fontId="31" fillId="9" borderId="38" xfId="22" applyFont="1" applyFill="1" applyBorder="1"/>
    <xf numFmtId="0" fontId="31" fillId="9" borderId="38" xfId="22" applyFont="1" applyFill="1" applyBorder="1" applyAlignment="1">
      <alignment horizontal="center"/>
    </xf>
    <xf numFmtId="0" fontId="31" fillId="9" borderId="38" xfId="19" applyFont="1" applyFill="1" applyBorder="1" applyAlignment="1">
      <alignment horizontal="center"/>
    </xf>
    <xf numFmtId="0" fontId="30" fillId="9" borderId="0" xfId="19" applyFont="1" applyFill="1" applyBorder="1" applyAlignment="1">
      <alignment horizontal="right"/>
    </xf>
    <xf numFmtId="165" fontId="30" fillId="9" borderId="0" xfId="19" applyNumberFormat="1" applyFont="1" applyFill="1" applyBorder="1"/>
    <xf numFmtId="0" fontId="30" fillId="9" borderId="0" xfId="19" applyFont="1" applyFill="1" applyBorder="1"/>
    <xf numFmtId="165" fontId="30" fillId="9" borderId="0" xfId="1" applyNumberFormat="1" applyFont="1" applyFill="1" applyBorder="1"/>
    <xf numFmtId="0" fontId="31" fillId="9" borderId="0" xfId="22" applyFont="1" applyFill="1" applyBorder="1"/>
    <xf numFmtId="3" fontId="5" fillId="9" borderId="33" xfId="19" applyNumberFormat="1" applyFill="1" applyBorder="1" applyAlignment="1" applyProtection="1">
      <alignment horizontal="center"/>
      <protection locked="0"/>
    </xf>
    <xf numFmtId="3" fontId="5" fillId="9" borderId="0" xfId="19" applyNumberFormat="1" applyFill="1" applyBorder="1"/>
    <xf numFmtId="3" fontId="2" fillId="9" borderId="33" xfId="22" applyNumberFormat="1" applyFill="1" applyBorder="1" applyAlignment="1" applyProtection="1">
      <alignment horizontal="center"/>
      <protection locked="0"/>
    </xf>
    <xf numFmtId="3" fontId="2" fillId="9" borderId="0" xfId="22" applyNumberFormat="1" applyFill="1" applyBorder="1" applyAlignment="1">
      <alignment horizontal="center"/>
    </xf>
    <xf numFmtId="0" fontId="30" fillId="9" borderId="0" xfId="19" applyFont="1" applyFill="1" applyBorder="1" applyAlignment="1">
      <alignment horizontal="right" indent="1"/>
    </xf>
    <xf numFmtId="3" fontId="2" fillId="9" borderId="0" xfId="22" applyNumberFormat="1" applyFill="1" applyBorder="1"/>
    <xf numFmtId="3" fontId="3" fillId="9" borderId="33" xfId="21" applyNumberFormat="1" applyFill="1" applyBorder="1" applyAlignment="1" applyProtection="1">
      <alignment horizontal="center"/>
      <protection locked="0"/>
    </xf>
    <xf numFmtId="3" fontId="3" fillId="9" borderId="0" xfId="21" applyNumberFormat="1" applyFill="1" applyBorder="1" applyAlignment="1">
      <alignment horizontal="center"/>
    </xf>
    <xf numFmtId="0" fontId="30" fillId="9" borderId="32" xfId="22" applyFont="1" applyFill="1" applyBorder="1" applyAlignment="1" applyProtection="1">
      <alignment vertical="center" wrapText="1"/>
      <protection locked="0"/>
    </xf>
    <xf numFmtId="0" fontId="2" fillId="9" borderId="39" xfId="22" applyFill="1" applyBorder="1" applyAlignment="1" applyProtection="1">
      <alignment vertical="center" wrapText="1"/>
      <protection locked="0"/>
    </xf>
    <xf numFmtId="0" fontId="51" fillId="9" borderId="0" xfId="22" applyFont="1" applyFill="1" applyBorder="1" applyAlignment="1">
      <alignment vertical="top"/>
    </xf>
    <xf numFmtId="0" fontId="68" fillId="9" borderId="0" xfId="22" applyFont="1" applyFill="1" applyBorder="1"/>
    <xf numFmtId="0" fontId="31" fillId="9" borderId="0" xfId="22" applyFont="1" applyFill="1" applyBorder="1" applyAlignment="1">
      <alignment horizontal="center"/>
    </xf>
    <xf numFmtId="0" fontId="31" fillId="9" borderId="29" xfId="22" applyFont="1" applyFill="1" applyBorder="1"/>
    <xf numFmtId="0" fontId="31" fillId="9" borderId="31" xfId="22" applyFont="1" applyFill="1" applyBorder="1"/>
    <xf numFmtId="175" fontId="2" fillId="9" borderId="31" xfId="22" applyNumberFormat="1" applyFill="1" applyBorder="1" applyAlignment="1">
      <alignment horizontal="center" vertical="center"/>
    </xf>
    <xf numFmtId="0" fontId="31" fillId="9" borderId="31" xfId="22" applyFont="1" applyFill="1" applyBorder="1" applyAlignment="1">
      <alignment horizontal="center"/>
    </xf>
    <xf numFmtId="0" fontId="31" fillId="9" borderId="30" xfId="22" applyFont="1" applyFill="1" applyBorder="1" applyAlignment="1">
      <alignment horizontal="center"/>
    </xf>
    <xf numFmtId="0" fontId="46" fillId="9" borderId="34" xfId="22" applyFont="1" applyFill="1" applyBorder="1" applyAlignment="1">
      <alignment horizontal="left" indent="2"/>
    </xf>
    <xf numFmtId="0" fontId="2" fillId="9" borderId="0" xfId="22" applyFill="1" applyBorder="1" applyAlignment="1">
      <alignment horizontal="left" indent="2"/>
    </xf>
    <xf numFmtId="175" fontId="2" fillId="9" borderId="0" xfId="22" applyNumberFormat="1" applyFill="1" applyBorder="1" applyAlignment="1">
      <alignment vertical="center"/>
    </xf>
    <xf numFmtId="175" fontId="2" fillId="9" borderId="0" xfId="22" applyNumberFormat="1" applyFill="1" applyBorder="1" applyAlignment="1">
      <alignment horizontal="center"/>
    </xf>
    <xf numFmtId="175" fontId="2" fillId="9" borderId="35" xfId="22" applyNumberFormat="1" applyFill="1" applyBorder="1" applyAlignment="1">
      <alignment horizontal="center"/>
    </xf>
    <xf numFmtId="175" fontId="2" fillId="9" borderId="8" xfId="22" applyNumberFormat="1" applyFill="1" applyBorder="1" applyAlignment="1">
      <alignment horizontal="center"/>
    </xf>
    <xf numFmtId="175" fontId="2" fillId="9" borderId="0" xfId="22" applyNumberFormat="1" applyFill="1" applyBorder="1" applyAlignment="1">
      <alignment horizontal="center" vertical="center"/>
    </xf>
    <xf numFmtId="0" fontId="2" fillId="9" borderId="34" xfId="22" applyFill="1" applyBorder="1" applyAlignment="1">
      <alignment horizontal="left" indent="2"/>
    </xf>
    <xf numFmtId="0" fontId="31" fillId="9" borderId="36" xfId="22" applyFont="1" applyFill="1" applyBorder="1" applyAlignment="1">
      <alignment horizontal="left" indent="2"/>
    </xf>
    <xf numFmtId="0" fontId="31" fillId="9" borderId="38" xfId="22" applyFont="1" applyFill="1" applyBorder="1" applyAlignment="1">
      <alignment horizontal="left" indent="2"/>
    </xf>
    <xf numFmtId="175" fontId="2" fillId="9" borderId="38" xfId="22" applyNumberFormat="1" applyFill="1" applyBorder="1" applyAlignment="1">
      <alignment vertical="center"/>
    </xf>
    <xf numFmtId="175" fontId="31" fillId="9" borderId="38" xfId="22" applyNumberFormat="1" applyFont="1" applyFill="1" applyBorder="1" applyAlignment="1">
      <alignment horizontal="center"/>
    </xf>
    <xf numFmtId="175" fontId="31" fillId="9" borderId="37" xfId="22" applyNumberFormat="1" applyFont="1" applyFill="1" applyBorder="1" applyAlignment="1">
      <alignment horizontal="center"/>
    </xf>
    <xf numFmtId="0" fontId="31" fillId="9" borderId="29" xfId="22" applyFont="1" applyFill="1" applyBorder="1" applyAlignment="1">
      <alignment horizontal="left"/>
    </xf>
    <xf numFmtId="0" fontId="31" fillId="9" borderId="31" xfId="22" applyFont="1" applyFill="1" applyBorder="1" applyAlignment="1">
      <alignment horizontal="left"/>
    </xf>
    <xf numFmtId="0" fontId="2" fillId="9" borderId="31" xfId="22" applyFill="1" applyBorder="1" applyAlignment="1">
      <alignment horizontal="center"/>
    </xf>
    <xf numFmtId="0" fontId="2" fillId="9" borderId="31" xfId="22" applyFill="1" applyBorder="1"/>
    <xf numFmtId="0" fontId="2" fillId="9" borderId="30" xfId="22" applyFill="1" applyBorder="1"/>
    <xf numFmtId="175" fontId="2" fillId="9" borderId="31" xfId="22" applyNumberFormat="1" applyFill="1" applyBorder="1" applyAlignment="1">
      <alignment horizontal="center"/>
    </xf>
    <xf numFmtId="175" fontId="2" fillId="9" borderId="30" xfId="22" applyNumberFormat="1" applyFill="1" applyBorder="1" applyAlignment="1">
      <alignment horizontal="center"/>
    </xf>
    <xf numFmtId="0" fontId="31" fillId="9" borderId="34" xfId="22" applyFont="1" applyFill="1" applyBorder="1" applyAlignment="1">
      <alignment horizontal="left" indent="2"/>
    </xf>
    <xf numFmtId="0" fontId="31" fillId="9" borderId="0" xfId="22" applyFont="1" applyFill="1" applyBorder="1" applyAlignment="1">
      <alignment horizontal="left" indent="2"/>
    </xf>
    <xf numFmtId="175" fontId="31" fillId="9" borderId="0" xfId="22" applyNumberFormat="1" applyFont="1" applyFill="1" applyBorder="1" applyAlignment="1">
      <alignment horizontal="center"/>
    </xf>
    <xf numFmtId="175" fontId="31" fillId="9" borderId="35" xfId="22" applyNumberFormat="1" applyFont="1" applyFill="1" applyBorder="1" applyAlignment="1">
      <alignment horizontal="center"/>
    </xf>
    <xf numFmtId="3" fontId="2" fillId="9" borderId="0" xfId="22" applyNumberFormat="1" applyFill="1" applyBorder="1" applyAlignment="1">
      <alignment horizontal="center" vertical="center"/>
    </xf>
    <xf numFmtId="3" fontId="2" fillId="9" borderId="35" xfId="22" applyNumberFormat="1" applyFill="1" applyBorder="1" applyAlignment="1">
      <alignment horizontal="center" vertical="center"/>
    </xf>
    <xf numFmtId="166" fontId="54" fillId="9" borderId="0" xfId="22" applyNumberFormat="1" applyFont="1" applyFill="1" applyBorder="1" applyAlignment="1">
      <alignment horizontal="center" vertical="center"/>
    </xf>
    <xf numFmtId="166" fontId="54" fillId="9" borderId="35" xfId="22" applyNumberFormat="1" applyFont="1" applyFill="1" applyBorder="1" applyAlignment="1">
      <alignment horizontal="center" vertical="center"/>
    </xf>
    <xf numFmtId="175" fontId="2" fillId="9" borderId="35" xfId="22" applyNumberFormat="1" applyFill="1" applyBorder="1" applyAlignment="1">
      <alignment horizontal="center" vertical="center"/>
    </xf>
    <xf numFmtId="0" fontId="2" fillId="9" borderId="36" xfId="22" applyFill="1" applyBorder="1" applyAlignment="1">
      <alignment horizontal="left" vertical="center"/>
    </xf>
    <xf numFmtId="0" fontId="2" fillId="9" borderId="38" xfId="22" applyFill="1" applyBorder="1" applyAlignment="1">
      <alignment horizontal="left" vertical="center"/>
    </xf>
    <xf numFmtId="175" fontId="2" fillId="9" borderId="38" xfId="22" applyNumberFormat="1" applyFill="1" applyBorder="1" applyAlignment="1">
      <alignment horizontal="center" vertical="center"/>
    </xf>
    <xf numFmtId="166" fontId="54" fillId="9" borderId="38" xfId="22" applyNumberFormat="1" applyFont="1" applyFill="1" applyBorder="1" applyAlignment="1">
      <alignment horizontal="center" vertical="center"/>
    </xf>
    <xf numFmtId="166" fontId="54" fillId="9" borderId="37" xfId="22" applyNumberFormat="1" applyFont="1" applyFill="1" applyBorder="1" applyAlignment="1">
      <alignment horizontal="center" vertical="center"/>
    </xf>
    <xf numFmtId="0" fontId="31" fillId="9" borderId="34" xfId="22" applyFont="1" applyFill="1" applyBorder="1"/>
    <xf numFmtId="4" fontId="2" fillId="9" borderId="0" xfId="22" applyNumberFormat="1" applyFill="1" applyBorder="1" applyAlignment="1">
      <alignment horizontal="center"/>
    </xf>
    <xf numFmtId="4" fontId="2" fillId="9" borderId="35" xfId="22" applyNumberFormat="1" applyFill="1" applyBorder="1" applyAlignment="1">
      <alignment horizontal="center"/>
    </xf>
    <xf numFmtId="0" fontId="2" fillId="9" borderId="36" xfId="22" applyFill="1" applyBorder="1" applyAlignment="1">
      <alignment horizontal="left" indent="2"/>
    </xf>
    <xf numFmtId="0" fontId="2" fillId="9" borderId="38" xfId="22" applyFill="1" applyBorder="1" applyAlignment="1">
      <alignment horizontal="left" indent="2"/>
    </xf>
    <xf numFmtId="4" fontId="2" fillId="9" borderId="38" xfId="22" applyNumberFormat="1" applyFill="1" applyBorder="1" applyAlignment="1">
      <alignment horizontal="center"/>
    </xf>
    <xf numFmtId="4" fontId="2" fillId="9" borderId="37" xfId="22" applyNumberFormat="1" applyFill="1" applyBorder="1" applyAlignment="1">
      <alignment horizontal="center"/>
    </xf>
    <xf numFmtId="0" fontId="2" fillId="9" borderId="3" xfId="22" applyFill="1" applyBorder="1"/>
    <xf numFmtId="0" fontId="2" fillId="9" borderId="9" xfId="22" applyFill="1" applyBorder="1" applyAlignment="1">
      <alignment horizontal="left" indent="2"/>
    </xf>
    <xf numFmtId="175" fontId="2" fillId="9" borderId="9" xfId="22" applyNumberFormat="1" applyFill="1" applyBorder="1" applyAlignment="1">
      <alignment horizontal="center"/>
    </xf>
    <xf numFmtId="0" fontId="2" fillId="9" borderId="9" xfId="22" applyFill="1" applyBorder="1" applyAlignment="1">
      <alignment horizontal="center"/>
    </xf>
    <xf numFmtId="0" fontId="2" fillId="9" borderId="4" xfId="22" applyFill="1" applyBorder="1"/>
    <xf numFmtId="0" fontId="13" fillId="9" borderId="33" xfId="0" applyFont="1" applyFill="1" applyBorder="1" applyAlignment="1" applyProtection="1">
      <alignment horizontal="center" vertical="center" wrapText="1"/>
      <protection locked="0"/>
    </xf>
    <xf numFmtId="0" fontId="51" fillId="4" borderId="0" xfId="0" applyFont="1" applyFill="1" applyBorder="1" applyAlignment="1">
      <alignment vertical="top"/>
    </xf>
    <xf numFmtId="0" fontId="14" fillId="0" borderId="0" xfId="0" applyFont="1" applyBorder="1" applyAlignment="1">
      <alignment horizontal="left" indent="1"/>
    </xf>
    <xf numFmtId="165" fontId="8" fillId="6" borderId="0" xfId="1" applyNumberFormat="1" applyFont="1" applyFill="1" applyBorder="1" applyProtection="1">
      <protection locked="0"/>
    </xf>
    <xf numFmtId="43" fontId="8" fillId="6" borderId="0" xfId="1" applyNumberFormat="1" applyFont="1" applyFill="1" applyBorder="1" applyProtection="1">
      <protection locked="0"/>
    </xf>
    <xf numFmtId="0" fontId="8" fillId="6" borderId="0" xfId="0" applyFont="1" applyFill="1" applyBorder="1" applyProtection="1">
      <protection locked="0"/>
    </xf>
    <xf numFmtId="9" fontId="8" fillId="6" borderId="0" xfId="3" applyFont="1" applyFill="1" applyBorder="1" applyProtection="1">
      <protection locked="0"/>
    </xf>
    <xf numFmtId="9" fontId="8" fillId="6" borderId="0" xfId="3" applyFont="1" applyFill="1" applyBorder="1" applyAlignment="1" applyProtection="1">
      <alignment horizontal="right"/>
      <protection locked="0"/>
    </xf>
    <xf numFmtId="164" fontId="8" fillId="6" borderId="0" xfId="2" applyNumberFormat="1" applyFont="1" applyFill="1" applyBorder="1" applyProtection="1">
      <protection locked="0"/>
    </xf>
    <xf numFmtId="44" fontId="8" fillId="6" borderId="0" xfId="2" applyFont="1" applyFill="1" applyBorder="1" applyProtection="1">
      <protection locked="0"/>
    </xf>
    <xf numFmtId="44" fontId="8" fillId="6" borderId="0" xfId="2" applyNumberFormat="1" applyFont="1" applyFill="1" applyBorder="1" applyProtection="1">
      <protection locked="0"/>
    </xf>
    <xf numFmtId="0" fontId="8" fillId="0" borderId="0" xfId="0" applyFont="1" applyFill="1" applyBorder="1" applyAlignment="1">
      <alignment horizontal="right"/>
    </xf>
    <xf numFmtId="0" fontId="1" fillId="0" borderId="1" xfId="22" applyFont="1" applyBorder="1"/>
    <xf numFmtId="0" fontId="1" fillId="0" borderId="33" xfId="22" applyFont="1" applyBorder="1"/>
    <xf numFmtId="0" fontId="1" fillId="0" borderId="1" xfId="22" applyFont="1" applyFill="1" applyBorder="1"/>
    <xf numFmtId="0" fontId="1" fillId="0" borderId="39" xfId="22" applyFont="1" applyBorder="1"/>
    <xf numFmtId="0" fontId="1" fillId="0" borderId="33" xfId="22" applyFont="1" applyFill="1" applyBorder="1"/>
    <xf numFmtId="0" fontId="1" fillId="0" borderId="32" xfId="22" applyFont="1" applyBorder="1"/>
    <xf numFmtId="0" fontId="0" fillId="0" borderId="0" xfId="0" applyAlignment="1">
      <alignment horizontal="center" vertical="center"/>
    </xf>
    <xf numFmtId="0" fontId="7" fillId="0" borderId="0" xfId="0" applyFont="1" applyFill="1" applyBorder="1" applyAlignment="1">
      <alignment horizontal="center"/>
    </xf>
    <xf numFmtId="0" fontId="0" fillId="0" borderId="0" xfId="0" applyFill="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20" fillId="0" borderId="0" xfId="0" applyFont="1" applyFill="1" applyBorder="1" applyAlignment="1">
      <alignment horizontal="left" wrapText="1"/>
    </xf>
    <xf numFmtId="0" fontId="20" fillId="0" borderId="0" xfId="0" applyFont="1" applyFill="1" applyBorder="1" applyAlignment="1">
      <alignment horizontal="left"/>
    </xf>
    <xf numFmtId="0" fontId="0" fillId="6" borderId="0" xfId="0" applyFill="1" applyBorder="1" applyAlignment="1" applyProtection="1">
      <alignment horizontal="left"/>
      <protection locked="0"/>
    </xf>
    <xf numFmtId="0" fontId="70" fillId="6" borderId="0" xfId="22" applyFont="1" applyFill="1" applyBorder="1" applyAlignment="1" applyProtection="1">
      <alignment horizontal="center" vertical="center" wrapText="1"/>
      <protection locked="0"/>
    </xf>
    <xf numFmtId="0" fontId="70" fillId="6" borderId="44" xfId="22" applyFont="1" applyFill="1" applyBorder="1" applyAlignment="1" applyProtection="1">
      <alignment horizontal="center" vertical="center" wrapText="1"/>
      <protection locked="0"/>
    </xf>
    <xf numFmtId="0" fontId="20" fillId="6" borderId="0" xfId="0" applyFont="1" applyFill="1" applyBorder="1" applyAlignment="1" applyProtection="1">
      <alignment horizontal="center" vertical="center" wrapText="1"/>
      <protection locked="0"/>
    </xf>
    <xf numFmtId="0" fontId="71" fillId="0" borderId="0" xfId="4" applyFont="1" applyAlignment="1" applyProtection="1">
      <alignment horizontal="center"/>
    </xf>
    <xf numFmtId="0" fontId="63" fillId="0" borderId="0" xfId="0" applyFont="1" applyAlignment="1">
      <alignment horizontal="center"/>
    </xf>
    <xf numFmtId="0" fontId="8" fillId="0" borderId="15" xfId="7" applyFont="1" applyBorder="1" applyAlignment="1">
      <alignment horizontal="center" vertical="top"/>
    </xf>
    <xf numFmtId="0" fontId="8" fillId="0" borderId="16" xfId="7" applyFont="1" applyBorder="1" applyAlignment="1">
      <alignment horizontal="center" vertical="top"/>
    </xf>
    <xf numFmtId="0" fontId="8" fillId="0" borderId="17" xfId="7" applyFont="1" applyBorder="1" applyAlignment="1">
      <alignment horizontal="center" vertical="top"/>
    </xf>
    <xf numFmtId="3" fontId="56" fillId="4" borderId="0" xfId="22" applyNumberFormat="1" applyFont="1" applyFill="1" applyBorder="1" applyAlignment="1">
      <alignment horizontal="left" vertical="top" wrapText="1"/>
    </xf>
    <xf numFmtId="0" fontId="56" fillId="4" borderId="0" xfId="22" applyFont="1" applyFill="1" applyBorder="1" applyAlignment="1">
      <alignment horizontal="left" vertical="top" wrapText="1"/>
    </xf>
    <xf numFmtId="0" fontId="37" fillId="4" borderId="0" xfId="12" applyFont="1" applyFill="1" applyBorder="1" applyAlignment="1">
      <alignment horizontal="left" vertical="top" wrapText="1"/>
    </xf>
    <xf numFmtId="0" fontId="37" fillId="4" borderId="8" xfId="12" applyFont="1" applyFill="1" applyBorder="1" applyAlignment="1">
      <alignment horizontal="left" vertical="top" wrapText="1"/>
    </xf>
    <xf numFmtId="3" fontId="56" fillId="4" borderId="9" xfId="22" applyNumberFormat="1" applyFont="1" applyFill="1" applyBorder="1" applyAlignment="1">
      <alignment horizontal="left" vertical="top" wrapText="1"/>
    </xf>
    <xf numFmtId="0" fontId="56" fillId="4" borderId="9" xfId="22" applyFont="1" applyFill="1" applyBorder="1" applyAlignment="1">
      <alignment horizontal="left" vertical="top" wrapText="1"/>
    </xf>
    <xf numFmtId="0" fontId="37" fillId="4" borderId="9" xfId="12" applyFont="1" applyFill="1" applyBorder="1" applyAlignment="1">
      <alignment horizontal="left" vertical="top" wrapText="1"/>
    </xf>
    <xf numFmtId="0" fontId="37" fillId="4" borderId="0" xfId="12" applyFill="1" applyBorder="1" applyAlignment="1">
      <alignment horizontal="left" vertical="top" wrapText="1"/>
    </xf>
    <xf numFmtId="0" fontId="57" fillId="4" borderId="0" xfId="12" applyFont="1" applyFill="1" applyBorder="1" applyAlignment="1">
      <alignment horizontal="left" vertical="top" wrapText="1"/>
    </xf>
    <xf numFmtId="0" fontId="57" fillId="4" borderId="8" xfId="12" applyFont="1" applyFill="1" applyBorder="1" applyAlignment="1">
      <alignment horizontal="left" vertical="top" wrapText="1"/>
    </xf>
    <xf numFmtId="0" fontId="31" fillId="9" borderId="0" xfId="22" applyFont="1" applyFill="1" applyBorder="1" applyAlignment="1">
      <alignment horizontal="center" wrapText="1"/>
    </xf>
    <xf numFmtId="175" fontId="2" fillId="9" borderId="31" xfId="22" applyNumberFormat="1" applyFill="1" applyBorder="1" applyAlignment="1">
      <alignment horizontal="center" vertical="center"/>
    </xf>
    <xf numFmtId="175" fontId="2" fillId="9" borderId="0" xfId="22" applyNumberFormat="1" applyFill="1" applyBorder="1" applyAlignment="1">
      <alignment horizontal="center" vertical="center"/>
    </xf>
    <xf numFmtId="175" fontId="2" fillId="9" borderId="38" xfId="22" applyNumberFormat="1" applyFill="1" applyBorder="1" applyAlignment="1">
      <alignment horizontal="center" vertical="center"/>
    </xf>
    <xf numFmtId="0" fontId="56" fillId="4" borderId="31" xfId="22" applyFont="1" applyFill="1" applyBorder="1" applyAlignment="1">
      <alignment horizontal="left" vertical="top" wrapText="1"/>
    </xf>
    <xf numFmtId="0" fontId="57" fillId="4" borderId="31" xfId="12" applyFont="1" applyFill="1" applyBorder="1" applyAlignment="1">
      <alignment horizontal="left" vertical="top" wrapText="1"/>
    </xf>
  </cellXfs>
  <cellStyles count="26">
    <cellStyle name="Comma" xfId="1" builtinId="3"/>
    <cellStyle name="Comma 2" xfId="9"/>
    <cellStyle name="Comma 3" xfId="10"/>
    <cellStyle name="Comma 3 2" xfId="11"/>
    <cellStyle name="Currency" xfId="2" builtinId="4"/>
    <cellStyle name="Currency 2" xfId="6"/>
    <cellStyle name="Hyperlink" xfId="4" builtinId="8"/>
    <cellStyle name="Hyperlink 2" xfId="12"/>
    <cellStyle name="Normal" xfId="0" builtinId="0"/>
    <cellStyle name="Normal 2" xfId="5"/>
    <cellStyle name="Normal 2 2" xfId="13"/>
    <cellStyle name="Normal 3" xfId="7"/>
    <cellStyle name="Normal 4" xfId="14"/>
    <cellStyle name="Normal 5" xfId="15"/>
    <cellStyle name="Normal 5 2" xfId="16"/>
    <cellStyle name="Normal 6" xfId="19"/>
    <cellStyle name="Normal 6 2" xfId="25"/>
    <cellStyle name="Normal 7" xfId="20"/>
    <cellStyle name="Normal 8" xfId="21"/>
    <cellStyle name="Normal 8 2" xfId="24"/>
    <cellStyle name="Normal 9" xfId="22"/>
    <cellStyle name="Percent" xfId="3" builtinId="5"/>
    <cellStyle name="Percent 2" xfId="8"/>
    <cellStyle name="Percent 3" xfId="17"/>
    <cellStyle name="Percent 3 2" xfId="18"/>
    <cellStyle name="Percent 4" xfId="23"/>
  </cellStyles>
  <dxfs count="0"/>
  <tableStyles count="0" defaultTableStyle="TableStyleMedium9" defaultPivotStyle="PivotStyleLight16"/>
  <colors>
    <mruColors>
      <color rgb="FFDFF1F5"/>
      <color rgb="FFFFFF99"/>
      <color rgb="FFFFCCFF"/>
      <color rgb="FF99FF66"/>
      <color rgb="FF007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CHP 20</a:t>
            </a:r>
            <a:r>
              <a:rPr lang="en-US" b="1" baseline="0">
                <a:solidFill>
                  <a:sysClr val="windowText" lastClr="000000"/>
                </a:solidFill>
              </a:rPr>
              <a:t> Yr Life Cycle Cost Analysis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069439092755547"/>
          <c:y val="0.20143919657473439"/>
          <c:w val="0.73024173231325173"/>
          <c:h val="0.64232582445684805"/>
        </c:manualLayout>
      </c:layout>
      <c:bar3DChart>
        <c:barDir val="bar"/>
        <c:grouping val="stacked"/>
        <c:varyColors val="0"/>
        <c:ser>
          <c:idx val="0"/>
          <c:order val="0"/>
          <c:tx>
            <c:strRef>
              <c:f>'Life Cycle Cost '!$E$51</c:f>
              <c:strCache>
                <c:ptCount val="1"/>
                <c:pt idx="0">
                  <c:v>Capital Cost</c:v>
                </c:pt>
              </c:strCache>
            </c:strRef>
          </c:tx>
          <c:spPr>
            <a:solidFill>
              <a:srgbClr val="00B05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'!$E$52:$E$56</c:f>
              <c:numCache>
                <c:formatCode>_("$"* #,##0_);_("$"* \(#,##0\);_("$"* "-"??_);_(@_)</c:formatCode>
                <c:ptCount val="5"/>
                <c:pt idx="0">
                  <c:v>0</c:v>
                </c:pt>
                <c:pt idx="1">
                  <c:v>2553300</c:v>
                </c:pt>
                <c:pt idx="2">
                  <c:v>2250000</c:v>
                </c:pt>
                <c:pt idx="3">
                  <c:v>2952900</c:v>
                </c:pt>
                <c:pt idx="4">
                  <c:v>3220000</c:v>
                </c:pt>
              </c:numCache>
            </c:numRef>
          </c:val>
          <c:extLst>
            <c:ext xmlns:c16="http://schemas.microsoft.com/office/drawing/2014/chart" uri="{C3380CC4-5D6E-409C-BE32-E72D297353CC}">
              <c16:uniqueId val="{00000000-F7D8-4DB7-9B84-D4BB2786CA46}"/>
            </c:ext>
          </c:extLst>
        </c:ser>
        <c:ser>
          <c:idx val="1"/>
          <c:order val="1"/>
          <c:tx>
            <c:strRef>
              <c:f>'Life Cycle Cost '!$F$51</c:f>
              <c:strCache>
                <c:ptCount val="1"/>
                <c:pt idx="0">
                  <c:v>Maintenance Cost</c:v>
                </c:pt>
              </c:strCache>
            </c:strRef>
          </c:tx>
          <c:spPr>
            <a:solidFill>
              <a:srgbClr val="FFFF0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'!$F$52:$F$56</c:f>
              <c:numCache>
                <c:formatCode>_("$"* #,##0_);_("$"* \(#,##0\);_("$"* "-"??_);_(@_)</c:formatCode>
                <c:ptCount val="5"/>
                <c:pt idx="0">
                  <c:v>0</c:v>
                </c:pt>
                <c:pt idx="1">
                  <c:v>3791672.4879039889</c:v>
                </c:pt>
                <c:pt idx="2">
                  <c:v>2166669.9930879935</c:v>
                </c:pt>
                <c:pt idx="3">
                  <c:v>2275003.4927423936</c:v>
                </c:pt>
                <c:pt idx="4">
                  <c:v>7222233.3102933122</c:v>
                </c:pt>
              </c:numCache>
            </c:numRef>
          </c:val>
          <c:extLst>
            <c:ext xmlns:c16="http://schemas.microsoft.com/office/drawing/2014/chart" uri="{C3380CC4-5D6E-409C-BE32-E72D297353CC}">
              <c16:uniqueId val="{00000001-F7D8-4DB7-9B84-D4BB2786CA46}"/>
            </c:ext>
          </c:extLst>
        </c:ser>
        <c:ser>
          <c:idx val="2"/>
          <c:order val="2"/>
          <c:tx>
            <c:strRef>
              <c:f>'Life Cycle Cost '!$G$51</c:f>
              <c:strCache>
                <c:ptCount val="1"/>
                <c:pt idx="0">
                  <c:v>Energy Cost</c:v>
                </c:pt>
              </c:strCache>
            </c:strRef>
          </c:tx>
          <c:spPr>
            <a:solidFill>
              <a:srgbClr val="FF0000"/>
            </a:solidFill>
            <a:ln>
              <a:noFill/>
            </a:ln>
            <a:effectLst/>
            <a:sp3d/>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'!$G$52:$G$56</c:f>
              <c:numCache>
                <c:formatCode>_("$"* #,##0_);_("$"* \(#,##0\);_("$"* "-"??_);_(@_)</c:formatCode>
                <c:ptCount val="5"/>
                <c:pt idx="0">
                  <c:v>21886889.970827904</c:v>
                </c:pt>
                <c:pt idx="1">
                  <c:v>5163931.0454536024</c:v>
                </c:pt>
                <c:pt idx="2">
                  <c:v>7958516.2389313029</c:v>
                </c:pt>
                <c:pt idx="3">
                  <c:v>7921190.4047014453</c:v>
                </c:pt>
                <c:pt idx="4">
                  <c:v>4672784.9517597733</c:v>
                </c:pt>
              </c:numCache>
            </c:numRef>
          </c:val>
          <c:extLst>
            <c:ext xmlns:c16="http://schemas.microsoft.com/office/drawing/2014/chart" uri="{C3380CC4-5D6E-409C-BE32-E72D297353CC}">
              <c16:uniqueId val="{00000002-F7D8-4DB7-9B84-D4BB2786CA46}"/>
            </c:ext>
          </c:extLst>
        </c:ser>
        <c:dLbls>
          <c:showLegendKey val="0"/>
          <c:showVal val="0"/>
          <c:showCatName val="0"/>
          <c:showSerName val="0"/>
          <c:showPercent val="0"/>
          <c:showBubbleSize val="0"/>
        </c:dLbls>
        <c:gapWidth val="150"/>
        <c:shape val="box"/>
        <c:axId val="497526768"/>
        <c:axId val="497527096"/>
        <c:axId val="0"/>
      </c:bar3DChart>
      <c:catAx>
        <c:axId val="497526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497527096"/>
        <c:crosses val="autoZero"/>
        <c:auto val="1"/>
        <c:lblAlgn val="ctr"/>
        <c:lblOffset val="100"/>
        <c:noMultiLvlLbl val="0"/>
      </c:catAx>
      <c:valAx>
        <c:axId val="49752709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497526768"/>
        <c:crosses val="autoZero"/>
        <c:crossBetween val="between"/>
      </c:valAx>
      <c:spPr>
        <a:noFill/>
        <a:ln>
          <a:noFill/>
        </a:ln>
        <a:effectLst/>
      </c:spPr>
    </c:plotArea>
    <c:legend>
      <c:legendPos val="t"/>
      <c:layout>
        <c:manualLayout>
          <c:xMode val="edge"/>
          <c:yMode val="edge"/>
          <c:x val="0.29401689327774616"/>
          <c:y val="0.13626609442060086"/>
          <c:w val="0.46472446671404222"/>
          <c:h val="0.1113566268728714"/>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CHP Life Cycle Cost Analysis</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'Life Cycle Cost '!$E$51</c:f>
              <c:strCache>
                <c:ptCount val="1"/>
                <c:pt idx="0">
                  <c:v>Capital Cost</c:v>
                </c:pt>
              </c:strCache>
            </c:strRef>
          </c:tx>
          <c:spPr>
            <a:solidFill>
              <a:srgbClr val="00B050"/>
            </a:solidFill>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'!$E$52:$E$56</c:f>
              <c:numCache>
                <c:formatCode>_("$"* #,##0_);_("$"* \(#,##0\);_("$"* "-"??_);_(@_)</c:formatCode>
                <c:ptCount val="5"/>
                <c:pt idx="0">
                  <c:v>0</c:v>
                </c:pt>
                <c:pt idx="1">
                  <c:v>2553300</c:v>
                </c:pt>
                <c:pt idx="2">
                  <c:v>2250000</c:v>
                </c:pt>
                <c:pt idx="3">
                  <c:v>2952900</c:v>
                </c:pt>
                <c:pt idx="4">
                  <c:v>3220000</c:v>
                </c:pt>
              </c:numCache>
            </c:numRef>
          </c:val>
          <c:extLst>
            <c:ext xmlns:c16="http://schemas.microsoft.com/office/drawing/2014/chart" uri="{C3380CC4-5D6E-409C-BE32-E72D297353CC}">
              <c16:uniqueId val="{00000000-6AAC-487F-B73F-CD7DA39D0E71}"/>
            </c:ext>
          </c:extLst>
        </c:ser>
        <c:ser>
          <c:idx val="1"/>
          <c:order val="1"/>
          <c:tx>
            <c:strRef>
              <c:f>'Life Cycle Cost '!$F$51</c:f>
              <c:strCache>
                <c:ptCount val="1"/>
                <c:pt idx="0">
                  <c:v>Maintenance Cost</c:v>
                </c:pt>
              </c:strCache>
            </c:strRef>
          </c:tx>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'!$F$52:$F$56</c:f>
              <c:numCache>
                <c:formatCode>_("$"* #,##0_);_("$"* \(#,##0\);_("$"* "-"??_);_(@_)</c:formatCode>
                <c:ptCount val="5"/>
                <c:pt idx="0">
                  <c:v>0</c:v>
                </c:pt>
                <c:pt idx="1">
                  <c:v>3791672.4879039889</c:v>
                </c:pt>
                <c:pt idx="2">
                  <c:v>2166669.9930879935</c:v>
                </c:pt>
                <c:pt idx="3">
                  <c:v>2275003.4927423936</c:v>
                </c:pt>
                <c:pt idx="4">
                  <c:v>7222233.3102933122</c:v>
                </c:pt>
              </c:numCache>
            </c:numRef>
          </c:val>
          <c:extLst>
            <c:ext xmlns:c16="http://schemas.microsoft.com/office/drawing/2014/chart" uri="{C3380CC4-5D6E-409C-BE32-E72D297353CC}">
              <c16:uniqueId val="{00000001-6AAC-487F-B73F-CD7DA39D0E71}"/>
            </c:ext>
          </c:extLst>
        </c:ser>
        <c:ser>
          <c:idx val="2"/>
          <c:order val="2"/>
          <c:tx>
            <c:strRef>
              <c:f>'Life Cycle Cost '!$G$51</c:f>
              <c:strCache>
                <c:ptCount val="1"/>
                <c:pt idx="0">
                  <c:v>Energy Cost</c:v>
                </c:pt>
              </c:strCache>
            </c:strRef>
          </c:tx>
          <c:spPr>
            <a:solidFill>
              <a:srgbClr val="FFFF00"/>
            </a:solidFill>
          </c:spPr>
          <c:invertIfNegative val="0"/>
          <c:cat>
            <c:strRef>
              <c:f>'Life Cycle Cost '!$D$52:$D$56</c:f>
              <c:strCache>
                <c:ptCount val="5"/>
                <c:pt idx="0">
                  <c:v>Grid Power</c:v>
                </c:pt>
                <c:pt idx="1">
                  <c:v>Reciprocating Engine</c:v>
                </c:pt>
                <c:pt idx="2">
                  <c:v>Micro Turbine</c:v>
                </c:pt>
                <c:pt idx="3">
                  <c:v>Gas Turbine</c:v>
                </c:pt>
                <c:pt idx="4">
                  <c:v>Fuel Cell</c:v>
                </c:pt>
              </c:strCache>
            </c:strRef>
          </c:cat>
          <c:val>
            <c:numRef>
              <c:f>'Life Cycle Cost '!$G$52:$G$56</c:f>
              <c:numCache>
                <c:formatCode>_("$"* #,##0_);_("$"* \(#,##0\);_("$"* "-"??_);_(@_)</c:formatCode>
                <c:ptCount val="5"/>
                <c:pt idx="0">
                  <c:v>21886889.970827904</c:v>
                </c:pt>
                <c:pt idx="1">
                  <c:v>5163931.0454536024</c:v>
                </c:pt>
                <c:pt idx="2">
                  <c:v>7958516.2389313029</c:v>
                </c:pt>
                <c:pt idx="3">
                  <c:v>7921190.4047014453</c:v>
                </c:pt>
                <c:pt idx="4">
                  <c:v>4672784.9517597733</c:v>
                </c:pt>
              </c:numCache>
            </c:numRef>
          </c:val>
          <c:extLst>
            <c:ext xmlns:c16="http://schemas.microsoft.com/office/drawing/2014/chart" uri="{C3380CC4-5D6E-409C-BE32-E72D297353CC}">
              <c16:uniqueId val="{00000002-6AAC-487F-B73F-CD7DA39D0E71}"/>
            </c:ext>
          </c:extLst>
        </c:ser>
        <c:dLbls>
          <c:showLegendKey val="0"/>
          <c:showVal val="0"/>
          <c:showCatName val="0"/>
          <c:showSerName val="0"/>
          <c:showPercent val="0"/>
          <c:showBubbleSize val="0"/>
        </c:dLbls>
        <c:gapWidth val="150"/>
        <c:shape val="box"/>
        <c:axId val="264984800"/>
        <c:axId val="264984408"/>
        <c:axId val="0"/>
      </c:bar3DChart>
      <c:catAx>
        <c:axId val="264984800"/>
        <c:scaling>
          <c:orientation val="minMax"/>
        </c:scaling>
        <c:delete val="0"/>
        <c:axPos val="b"/>
        <c:numFmt formatCode="General" sourceLinked="0"/>
        <c:majorTickMark val="out"/>
        <c:minorTickMark val="none"/>
        <c:tickLblPos val="nextTo"/>
        <c:crossAx val="264984408"/>
        <c:crosses val="autoZero"/>
        <c:auto val="1"/>
        <c:lblAlgn val="ctr"/>
        <c:lblOffset val="100"/>
        <c:noMultiLvlLbl val="0"/>
      </c:catAx>
      <c:valAx>
        <c:axId val="264984408"/>
        <c:scaling>
          <c:orientation val="minMax"/>
        </c:scaling>
        <c:delete val="0"/>
        <c:axPos val="l"/>
        <c:majorGridlines/>
        <c:numFmt formatCode="_(&quot;$&quot;* #,##0_);_(&quot;$&quot;* \(#,##0\);_(&quot;$&quot;* &quot;-&quot;??_);_(@_)" sourceLinked="1"/>
        <c:majorTickMark val="out"/>
        <c:minorTickMark val="none"/>
        <c:tickLblPos val="nextTo"/>
        <c:crossAx val="264984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understandingchp.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Commercial Carbon Calculator'!A175"/><Relationship Id="rId1" Type="http://schemas.openxmlformats.org/officeDocument/2006/relationships/image" Target="../media/image4.png"/><Relationship Id="rId5" Type="http://schemas.openxmlformats.org/officeDocument/2006/relationships/image" Target="../media/image7.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47625</xdr:colOff>
      <xdr:row>4</xdr:row>
      <xdr:rowOff>38101</xdr:rowOff>
    </xdr:to>
    <xdr:pic>
      <xdr:nvPicPr>
        <xdr:cNvPr id="6" name="Picture 5" descr="http://calculators.myescenter.com/chp/image002.png">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0"/>
          <a:ext cx="8153400" cy="828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60</xdr:row>
      <xdr:rowOff>147637</xdr:rowOff>
    </xdr:from>
    <xdr:to>
      <xdr:col>6</xdr:col>
      <xdr:colOff>19049</xdr:colOff>
      <xdr:row>75</xdr:row>
      <xdr:rowOff>57150</xdr:rowOff>
    </xdr:to>
    <xdr:graphicFrame macro="">
      <xdr:nvGraphicFramePr>
        <xdr:cNvPr id="4" name="Chart 3">
          <a:extLst>
            <a:ext uri="{FF2B5EF4-FFF2-40B4-BE49-F238E27FC236}">
              <a16:creationId xmlns:a16="http://schemas.microsoft.com/office/drawing/2014/main" id="{4F7E6AB3-E50A-491B-B18A-1920100CD1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104775</xdr:colOff>
      <xdr:row>9</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85775"/>
          <a:ext cx="6810375" cy="11239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a:solidFill>
                <a:sysClr val="windowText" lastClr="000000"/>
              </a:solidFill>
              <a:latin typeface="Arial" pitchFamily="34" charset="0"/>
              <a:cs typeface="Arial" pitchFamily="34" charset="0"/>
            </a:rPr>
            <a:t>This tool provides a simple payback calculation for various CHP technologies</a:t>
          </a:r>
          <a:r>
            <a:rPr lang="en-US" sz="1000" b="0" baseline="0">
              <a:solidFill>
                <a:sysClr val="windowText" lastClr="000000"/>
              </a:solidFill>
              <a:latin typeface="Arial" pitchFamily="34" charset="0"/>
              <a:cs typeface="Arial" pitchFamily="34" charset="0"/>
            </a:rPr>
            <a:t> based off the size and energy rates.  The calculations use average pricing, efficiencies, &amp; maintenance costs provided in the CHP Technology Catalogs available from the Combined Heat and Power partnership of the EPA.</a:t>
          </a:r>
        </a:p>
        <a:p>
          <a:endParaRPr lang="en-US" sz="1000" b="0" baseline="0">
            <a:solidFill>
              <a:sysClr val="windowText" lastClr="00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Arial" pitchFamily="34" charset="0"/>
              <a:ea typeface="+mn-ea"/>
              <a:cs typeface="Arial" pitchFamily="34" charset="0"/>
            </a:rPr>
            <a:t>The results produced by use of this tool are intended solely as a preliminary evaluation of a potential CHP installation.  For a more detailed and exact evaluation you should seek the assistance of a qualified engineering firm with input from the appropriate manufacturers of power generation equipment.</a:t>
          </a:r>
          <a:endParaRPr lang="en-US" sz="1000" b="0">
            <a:solidFill>
              <a:sysClr val="windowText" lastClr="000000"/>
            </a:solidFill>
            <a:latin typeface="Arial" pitchFamily="34" charset="0"/>
            <a:ea typeface="+mn-ea"/>
            <a:cs typeface="Arial" pitchFamily="34" charset="0"/>
          </a:endParaRPr>
        </a:p>
        <a:p>
          <a:endParaRPr lang="en-US" sz="1000" b="0">
            <a:solidFill>
              <a:sysClr val="windowText" lastClr="000000"/>
            </a:solidFill>
            <a:latin typeface="Arial" pitchFamily="34" charset="0"/>
            <a:cs typeface="Arial" pitchFamily="34" charset="0"/>
          </a:endParaRPr>
        </a:p>
      </xdr:txBody>
    </xdr:sp>
    <xdr:clientData/>
  </xdr:twoCellAnchor>
  <xdr:oneCellAnchor>
    <xdr:from>
      <xdr:col>4</xdr:col>
      <xdr:colOff>209549</xdr:colOff>
      <xdr:row>1</xdr:row>
      <xdr:rowOff>85724</xdr:rowOff>
    </xdr:from>
    <xdr:ext cx="1348533" cy="409575"/>
    <xdr:pic>
      <xdr:nvPicPr>
        <xdr:cNvPr id="3" name="Picture 2" descr="ESC_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647949" y="314324"/>
          <a:ext cx="1348533" cy="409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13624</xdr:colOff>
      <xdr:row>57</xdr:row>
      <xdr:rowOff>103909</xdr:rowOff>
    </xdr:from>
    <xdr:to>
      <xdr:col>6</xdr:col>
      <xdr:colOff>164523</xdr:colOff>
      <xdr:row>67</xdr:row>
      <xdr:rowOff>300577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64738" y="9637568"/>
          <a:ext cx="4186035" cy="27770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642937</xdr:colOff>
      <xdr:row>34</xdr:row>
      <xdr:rowOff>14287</xdr:rowOff>
    </xdr:from>
    <xdr:to>
      <xdr:col>9</xdr:col>
      <xdr:colOff>647700</xdr:colOff>
      <xdr:row>48</xdr:row>
      <xdr:rowOff>90487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727262</xdr:colOff>
      <xdr:row>3</xdr:row>
      <xdr:rowOff>81800</xdr:rowOff>
    </xdr:from>
    <xdr:to>
      <xdr:col>14</xdr:col>
      <xdr:colOff>164035</xdr:colOff>
      <xdr:row>7</xdr:row>
      <xdr:rowOff>51320</xdr:rowOff>
    </xdr:to>
    <xdr:pic>
      <xdr:nvPicPr>
        <xdr:cNvPr id="2" name="Picture 17" descr="ESC_LOGO">
          <a:extLst>
            <a:ext uri="{FF2B5EF4-FFF2-40B4-BE49-F238E27FC236}">
              <a16:creationId xmlns:a16="http://schemas.microsoft.com/office/drawing/2014/main" id="{DB5559EA-9531-44BC-8341-BF6EB0078D52}"/>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3762" y="1034300"/>
          <a:ext cx="2322848"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67797</xdr:rowOff>
    </xdr:from>
    <xdr:to>
      <xdr:col>8</xdr:col>
      <xdr:colOff>133350</xdr:colOff>
      <xdr:row>7</xdr:row>
      <xdr:rowOff>142875</xdr:rowOff>
    </xdr:to>
    <xdr:sp macro="" textlink="">
      <xdr:nvSpPr>
        <xdr:cNvPr id="3" name="TextBox 2">
          <a:extLst>
            <a:ext uri="{FF2B5EF4-FFF2-40B4-BE49-F238E27FC236}">
              <a16:creationId xmlns:a16="http://schemas.microsoft.com/office/drawing/2014/main" id="{944D9F33-4477-4522-82BD-51F9B5E6F126}"/>
            </a:ext>
          </a:extLst>
        </xdr:cNvPr>
        <xdr:cNvSpPr txBox="1"/>
      </xdr:nvSpPr>
      <xdr:spPr>
        <a:xfrm>
          <a:off x="371475" y="639297"/>
          <a:ext cx="6048375" cy="12180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baseline="0">
              <a:solidFill>
                <a:schemeClr val="dk1"/>
              </a:solidFill>
              <a:effectLst/>
              <a:latin typeface="+mn-lt"/>
              <a:ea typeface="+mn-ea"/>
              <a:cs typeface="+mn-cs"/>
            </a:rPr>
            <a:t>Disclaimer: </a:t>
          </a:r>
          <a:r>
            <a:rPr lang="en-US" sz="1000" b="0" i="0" baseline="0">
              <a:solidFill>
                <a:schemeClr val="dk1"/>
              </a:solidFill>
              <a:effectLst/>
              <a:latin typeface="+mn-lt"/>
              <a:ea typeface="+mn-ea"/>
              <a:cs typeface="+mn-cs"/>
            </a:rPr>
            <a:t>This calculator was prepared for work sponsored by the Energy Solutions Center Inc. Neither The Energy Solutions Center, any member of The Energy Solutions Center, nor any person on behalf of any or all of them:</a:t>
          </a:r>
        </a:p>
        <a:p>
          <a:pPr marL="274320" rtl="0">
            <a:spcBef>
              <a:spcPts val="0"/>
            </a:spcBef>
          </a:pPr>
          <a:r>
            <a:rPr lang="en-US" sz="1000" b="0" i="0" baseline="0">
              <a:solidFill>
                <a:schemeClr val="dk1"/>
              </a:solidFill>
              <a:effectLst/>
              <a:latin typeface="+mn-lt"/>
              <a:ea typeface="+mn-ea"/>
              <a:cs typeface="+mn-cs"/>
            </a:rPr>
            <a:t>a) Makes any warranty or representation, express or implied, with respect to the accuracy, completeness, or usefulness of the information contained in this application or report, or</a:t>
          </a:r>
          <a:endParaRPr lang="en-US" sz="1000" i="0">
            <a:effectLst/>
          </a:endParaRPr>
        </a:p>
        <a:p>
          <a:pPr marL="274320" rtl="0">
            <a:spcBef>
              <a:spcPts val="0"/>
            </a:spcBef>
          </a:pPr>
          <a:r>
            <a:rPr lang="en-US" sz="1000" b="0" i="0" baseline="0">
              <a:solidFill>
                <a:schemeClr val="dk1"/>
              </a:solidFill>
              <a:effectLst/>
              <a:latin typeface="+mn-lt"/>
              <a:ea typeface="+mn-ea"/>
              <a:cs typeface="+mn-cs"/>
            </a:rPr>
            <a:t>b) Assumes any liability with respect to the use of or for damages resulting from the use of any information disclosed in this application or report.</a:t>
          </a:r>
          <a:endParaRPr lang="en-US" sz="1000" i="0">
            <a:effectLst/>
          </a:endParaRPr>
        </a:p>
      </xdr:txBody>
    </xdr:sp>
    <xdr:clientData/>
  </xdr:twoCellAnchor>
  <xdr:twoCellAnchor>
    <xdr:from>
      <xdr:col>6</xdr:col>
      <xdr:colOff>0</xdr:colOff>
      <xdr:row>20</xdr:row>
      <xdr:rowOff>22412</xdr:rowOff>
    </xdr:from>
    <xdr:to>
      <xdr:col>17</xdr:col>
      <xdr:colOff>0</xdr:colOff>
      <xdr:row>24</xdr:row>
      <xdr:rowOff>168088</xdr:rowOff>
    </xdr:to>
    <xdr:sp macro="" textlink="">
      <xdr:nvSpPr>
        <xdr:cNvPr id="4" name="TextBox 3">
          <a:hlinkClick xmlns:r="http://schemas.openxmlformats.org/officeDocument/2006/relationships" r:id="rId2"/>
          <a:extLst>
            <a:ext uri="{FF2B5EF4-FFF2-40B4-BE49-F238E27FC236}">
              <a16:creationId xmlns:a16="http://schemas.microsoft.com/office/drawing/2014/main" id="{9EB3F385-4A03-4117-82FE-F866C0F78B61}"/>
            </a:ext>
          </a:extLst>
        </xdr:cNvPr>
        <xdr:cNvSpPr txBox="1"/>
      </xdr:nvSpPr>
      <xdr:spPr>
        <a:xfrm>
          <a:off x="5324475" y="4213412"/>
          <a:ext cx="5591175" cy="9076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Notes:</a:t>
          </a:r>
        </a:p>
        <a:p>
          <a:r>
            <a:rPr lang="en-US" sz="1000"/>
            <a:t>1) For U.S. states, eGrid subregions, and NERC regions, select one of two eGRID U.S. emission profile options</a:t>
          </a:r>
          <a:r>
            <a:rPr lang="en-US" sz="1000" baseline="0"/>
            <a:t> - 'Average All Sources' or Average Fossil'</a:t>
          </a:r>
          <a:r>
            <a:rPr lang="en-US" sz="1000"/>
            <a:t>. </a:t>
          </a:r>
        </a:p>
        <a:p>
          <a:r>
            <a:rPr lang="en-US" sz="1000"/>
            <a:t>2) For Canadian provinces, please select  the Canadian emissions profile option.</a:t>
          </a:r>
        </a:p>
        <a:p>
          <a:r>
            <a:rPr lang="en-US" sz="1000"/>
            <a:t>3) To view eGrid subregion and</a:t>
          </a:r>
          <a:r>
            <a:rPr lang="en-US" sz="1000" baseline="0"/>
            <a:t> NERC region maps, click </a:t>
          </a:r>
          <a:r>
            <a:rPr lang="en-US" sz="1000" u="sng" baseline="0">
              <a:solidFill>
                <a:schemeClr val="accent1"/>
              </a:solidFill>
            </a:rPr>
            <a:t>here</a:t>
          </a:r>
          <a:r>
            <a:rPr lang="en-US" sz="1000" baseline="0"/>
            <a:t>.</a:t>
          </a:r>
          <a:endParaRPr lang="en-US" sz="1000"/>
        </a:p>
      </xdr:txBody>
    </xdr:sp>
    <xdr:clientData/>
  </xdr:twoCellAnchor>
  <xdr:twoCellAnchor>
    <xdr:from>
      <xdr:col>6</xdr:col>
      <xdr:colOff>666750</xdr:colOff>
      <xdr:row>62</xdr:row>
      <xdr:rowOff>66675</xdr:rowOff>
    </xdr:from>
    <xdr:to>
      <xdr:col>15</xdr:col>
      <xdr:colOff>28575</xdr:colOff>
      <xdr:row>63</xdr:row>
      <xdr:rowOff>95250</xdr:rowOff>
    </xdr:to>
    <xdr:sp macro="" textlink="">
      <xdr:nvSpPr>
        <xdr:cNvPr id="5" name="TextBox 4">
          <a:extLst>
            <a:ext uri="{FF2B5EF4-FFF2-40B4-BE49-F238E27FC236}">
              <a16:creationId xmlns:a16="http://schemas.microsoft.com/office/drawing/2014/main" id="{3ECBFC32-E971-42F5-AB25-561B6D4DA86E}"/>
            </a:ext>
          </a:extLst>
        </xdr:cNvPr>
        <xdr:cNvSpPr txBox="1"/>
      </xdr:nvSpPr>
      <xdr:spPr>
        <a:xfrm>
          <a:off x="5991225" y="12258675"/>
          <a:ext cx="3990975" cy="2190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 negative value represents an increase in emissions.</a:t>
          </a:r>
          <a:r>
            <a:rPr lang="en-US" sz="900"/>
            <a:t> </a:t>
          </a:r>
        </a:p>
      </xdr:txBody>
    </xdr:sp>
    <xdr:clientData/>
  </xdr:twoCellAnchor>
  <xdr:twoCellAnchor>
    <xdr:from>
      <xdr:col>1</xdr:col>
      <xdr:colOff>171449</xdr:colOff>
      <xdr:row>95</xdr:row>
      <xdr:rowOff>19050</xdr:rowOff>
    </xdr:from>
    <xdr:to>
      <xdr:col>5</xdr:col>
      <xdr:colOff>771525</xdr:colOff>
      <xdr:row>96</xdr:row>
      <xdr:rowOff>85725</xdr:rowOff>
    </xdr:to>
    <xdr:sp macro="" textlink="">
      <xdr:nvSpPr>
        <xdr:cNvPr id="6" name="TextBox 5">
          <a:extLst>
            <a:ext uri="{FF2B5EF4-FFF2-40B4-BE49-F238E27FC236}">
              <a16:creationId xmlns:a16="http://schemas.microsoft.com/office/drawing/2014/main" id="{ED1176D7-03E5-482E-B7D5-4C808285A19B}"/>
            </a:ext>
          </a:extLst>
        </xdr:cNvPr>
        <xdr:cNvSpPr txBox="1"/>
      </xdr:nvSpPr>
      <xdr:spPr>
        <a:xfrm>
          <a:off x="361949" y="24203025"/>
          <a:ext cx="495300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Annual Electricity Consumption includes </a:t>
          </a:r>
          <a:r>
            <a:rPr lang="en-US" sz="900" b="0" i="0" u="none" strike="noStrike" baseline="0">
              <a:solidFill>
                <a:schemeClr val="dk1"/>
              </a:solidFill>
              <a:effectLst/>
              <a:latin typeface="+mn-lt"/>
              <a:ea typeface="+mn-ea"/>
              <a:cs typeface="+mn-cs"/>
            </a:rPr>
            <a:t> l</a:t>
          </a:r>
          <a:r>
            <a:rPr lang="en-US" sz="900" b="0" i="0" u="none" strike="noStrike">
              <a:solidFill>
                <a:schemeClr val="dk1"/>
              </a:solidFill>
              <a:effectLst/>
              <a:latin typeface="+mn-lt"/>
              <a:ea typeface="+mn-ea"/>
              <a:cs typeface="+mn-cs"/>
            </a:rPr>
            <a:t>osses from Transmission &amp; Distribution.</a:t>
          </a:r>
          <a:endParaRPr lang="en-US" sz="900"/>
        </a:p>
      </xdr:txBody>
    </xdr:sp>
    <xdr:clientData/>
  </xdr:twoCellAnchor>
  <xdr:twoCellAnchor editAs="oneCell">
    <xdr:from>
      <xdr:col>14</xdr:col>
      <xdr:colOff>205862</xdr:colOff>
      <xdr:row>1</xdr:row>
      <xdr:rowOff>358588</xdr:rowOff>
    </xdr:from>
    <xdr:to>
      <xdr:col>17</xdr:col>
      <xdr:colOff>83385</xdr:colOff>
      <xdr:row>8</xdr:row>
      <xdr:rowOff>88761</xdr:rowOff>
    </xdr:to>
    <xdr:pic>
      <xdr:nvPicPr>
        <xdr:cNvPr id="7" name="Picture 6">
          <a:extLst>
            <a:ext uri="{FF2B5EF4-FFF2-40B4-BE49-F238E27FC236}">
              <a16:creationId xmlns:a16="http://schemas.microsoft.com/office/drawing/2014/main" id="{1DB035E8-773E-4E64-B6E6-1C5744FEB9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78437" y="549088"/>
          <a:ext cx="1620598" cy="1444673"/>
        </a:xfrm>
        <a:prstGeom prst="rect">
          <a:avLst/>
        </a:prstGeom>
      </xdr:spPr>
    </xdr:pic>
    <xdr:clientData/>
  </xdr:twoCellAnchor>
  <xdr:twoCellAnchor editAs="oneCell">
    <xdr:from>
      <xdr:col>3</xdr:col>
      <xdr:colOff>0</xdr:colOff>
      <xdr:row>141</xdr:row>
      <xdr:rowOff>0</xdr:rowOff>
    </xdr:from>
    <xdr:to>
      <xdr:col>12</xdr:col>
      <xdr:colOff>666402</xdr:colOff>
      <xdr:row>169</xdr:row>
      <xdr:rowOff>170762</xdr:rowOff>
    </xdr:to>
    <xdr:pic>
      <xdr:nvPicPr>
        <xdr:cNvPr id="8" name="Picture 7">
          <a:extLst>
            <a:ext uri="{FF2B5EF4-FFF2-40B4-BE49-F238E27FC236}">
              <a16:creationId xmlns:a16="http://schemas.microsoft.com/office/drawing/2014/main" id="{488E76EE-4EC4-4311-A74A-4E05575CC71F}"/>
            </a:ext>
          </a:extLst>
        </xdr:cNvPr>
        <xdr:cNvPicPr>
          <a:picLocks noChangeAspect="1"/>
        </xdr:cNvPicPr>
      </xdr:nvPicPr>
      <xdr:blipFill>
        <a:blip xmlns:r="http://schemas.openxmlformats.org/officeDocument/2006/relationships" r:embed="rId4"/>
        <a:stretch>
          <a:fillRect/>
        </a:stretch>
      </xdr:blipFill>
      <xdr:spPr>
        <a:xfrm>
          <a:off x="1619250" y="32946975"/>
          <a:ext cx="7257702" cy="5504762"/>
        </a:xfrm>
        <a:prstGeom prst="rect">
          <a:avLst/>
        </a:prstGeom>
      </xdr:spPr>
    </xdr:pic>
    <xdr:clientData/>
  </xdr:twoCellAnchor>
  <xdr:twoCellAnchor editAs="oneCell">
    <xdr:from>
      <xdr:col>2</xdr:col>
      <xdr:colOff>1172459</xdr:colOff>
      <xdr:row>174</xdr:row>
      <xdr:rowOff>89647</xdr:rowOff>
    </xdr:from>
    <xdr:to>
      <xdr:col>14</xdr:col>
      <xdr:colOff>477371</xdr:colOff>
      <xdr:row>208</xdr:row>
      <xdr:rowOff>98611</xdr:rowOff>
    </xdr:to>
    <xdr:pic>
      <xdr:nvPicPr>
        <xdr:cNvPr id="9" name="Picture 8" descr="Image result for nerc region map">
          <a:extLst>
            <a:ext uri="{FF2B5EF4-FFF2-40B4-BE49-F238E27FC236}">
              <a16:creationId xmlns:a16="http://schemas.microsoft.com/office/drawing/2014/main" id="{5BD4E8EC-E34F-4906-8E07-9DB84617B0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3934" y="39323122"/>
          <a:ext cx="8106012" cy="648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consortia.myescenter.com/CHP/e-GRID-sub-region-map-full_nam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chp/catalog-chp-technologies" TargetMode="External"/><Relationship Id="rId1" Type="http://schemas.openxmlformats.org/officeDocument/2006/relationships/hyperlink" Target="http://www.epa.gov/chp/policies/database.html" TargetMode="External"/><Relationship Id="rId5" Type="http://schemas.openxmlformats.org/officeDocument/2006/relationships/drawing" Target="../drawings/drawing3.xm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pa.gov/ttn/chief/ap42/ch01/bgdocs/b01s03.pdf" TargetMode="External"/><Relationship Id="rId13" Type="http://schemas.openxmlformats.org/officeDocument/2006/relationships/hyperlink" Target="http://www.epa.gov/ttn/chief/ap42/ch01/final/c01s05.pdf" TargetMode="External"/><Relationship Id="rId18" Type="http://schemas.openxmlformats.org/officeDocument/2006/relationships/hyperlink" Target="http://www.ec.gc.ca/inrp-npri/default.asp?lang=en&amp;n=0EC58C98-" TargetMode="External"/><Relationship Id="rId3" Type="http://schemas.openxmlformats.org/officeDocument/2006/relationships/hyperlink" Target="http://www.epa.gov/ttn/chief/ap42/ch01/final/c01s04.pdf" TargetMode="External"/><Relationship Id="rId21" Type="http://schemas.openxmlformats.org/officeDocument/2006/relationships/printerSettings" Target="../printerSettings/printerSettings5.bin"/><Relationship Id="rId7" Type="http://schemas.openxmlformats.org/officeDocument/2006/relationships/hyperlink" Target="http://www.epa.gov/ttn/chief/ap42/ch01/bgdocs/b01s03.pdf" TargetMode="External"/><Relationship Id="rId12" Type="http://schemas.openxmlformats.org/officeDocument/2006/relationships/hyperlink" Target="http://www.epa.gov/ttn/chief/ap42/ch01/final/c01s05.pdf" TargetMode="External"/><Relationship Id="rId17" Type="http://schemas.openxmlformats.org/officeDocument/2006/relationships/hyperlink" Target="http://www.ec.gc.ca/ges-ghg/" TargetMode="External"/><Relationship Id="rId2" Type="http://schemas.openxmlformats.org/officeDocument/2006/relationships/hyperlink" Target="http://www.epa.gov/ttn/chief/ap42/ch01/final/c01s04.pdf" TargetMode="External"/><Relationship Id="rId16" Type="http://schemas.openxmlformats.org/officeDocument/2006/relationships/hyperlink" Target="http://www.ec.gc.ca/inrp-npri/default.asp?lang=en&amp;n=0EC58C98-" TargetMode="External"/><Relationship Id="rId20" Type="http://schemas.openxmlformats.org/officeDocument/2006/relationships/hyperlink" Target="https://www.epa.gov/energy/emissions-generation-resource-integrated-database-egrid" TargetMode="External"/><Relationship Id="rId1" Type="http://schemas.openxmlformats.org/officeDocument/2006/relationships/hyperlink" Target="http://www.epa.gov/ttn/chief/ap42/ch01/final/c01s04.pdf" TargetMode="External"/><Relationship Id="rId6" Type="http://schemas.openxmlformats.org/officeDocument/2006/relationships/hyperlink" Target="https://www.epa.gov/energy/ghg-equivalencies-calculator-calculations-and-references" TargetMode="External"/><Relationship Id="rId11" Type="http://schemas.openxmlformats.org/officeDocument/2006/relationships/hyperlink" Target="http://www.epa.gov/ttn/chief/ap42/ch01/final/c01s05.pdf" TargetMode="External"/><Relationship Id="rId5" Type="http://schemas.openxmlformats.org/officeDocument/2006/relationships/hyperlink" Target="https://www.epa.gov/energy/ghg-equivalencies-calculator-calculations-and-references" TargetMode="External"/><Relationship Id="rId15" Type="http://schemas.openxmlformats.org/officeDocument/2006/relationships/hyperlink" Target="http://www.ec.gc.ca/inrp-npri/default.asp?lang=en&amp;n=0EC58C98-" TargetMode="External"/><Relationship Id="rId10" Type="http://schemas.openxmlformats.org/officeDocument/2006/relationships/hyperlink" Target="http://www.epa.gov/ttn/chief/ap42/ch01/final/c01s05.pdf" TargetMode="External"/><Relationship Id="rId19" Type="http://schemas.openxmlformats.org/officeDocument/2006/relationships/hyperlink" Target="http://www.eia.gov/tools/faqs/faq.cfm?id=105&amp;t=3" TargetMode="External"/><Relationship Id="rId4" Type="http://schemas.openxmlformats.org/officeDocument/2006/relationships/hyperlink" Target="http://www.epa.gov/ttn/chief/ap42/ch01/bgdocs/b01s04.pdf" TargetMode="External"/><Relationship Id="rId9" Type="http://schemas.openxmlformats.org/officeDocument/2006/relationships/hyperlink" Target="http://www.epa.gov/ttn/chief/ap42/ch01/bgdocs/b01s03.pdf" TargetMode="External"/><Relationship Id="rId14" Type="http://schemas.openxmlformats.org/officeDocument/2006/relationships/hyperlink" Target="http://www.epa.gov/ttn/chief/ap42/ch01/bgdocs/b01s03.pdf" TargetMode="External"/><Relationship Id="rId2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showGridLines="0" tabSelected="1" topLeftCell="A7" zoomScaleNormal="100" workbookViewId="0">
      <selection activeCell="C22" sqref="C22"/>
    </sheetView>
  </sheetViews>
  <sheetFormatPr defaultRowHeight="12.75" x14ac:dyDescent="0.2"/>
  <cols>
    <col min="1" max="1" width="2.7109375" customWidth="1"/>
    <col min="2" max="2" width="47.7109375" customWidth="1"/>
    <col min="3" max="3" width="17.7109375" customWidth="1"/>
    <col min="4" max="6" width="18.7109375" customWidth="1"/>
    <col min="7" max="7" width="2.7109375" customWidth="1"/>
    <col min="8" max="9" width="20.85546875" customWidth="1"/>
    <col min="10" max="11" width="15.7109375" customWidth="1"/>
  </cols>
  <sheetData>
    <row r="1" spans="2:10" ht="18.75" customHeight="1" x14ac:dyDescent="0.2">
      <c r="B1" s="792"/>
      <c r="C1" s="792"/>
      <c r="D1" s="792"/>
      <c r="E1" s="792"/>
      <c r="F1" s="792"/>
    </row>
    <row r="2" spans="2:10" x14ac:dyDescent="0.2">
      <c r="B2" s="792"/>
      <c r="C2" s="792"/>
      <c r="D2" s="792"/>
      <c r="E2" s="792"/>
      <c r="F2" s="792"/>
      <c r="H2" s="295"/>
      <c r="I2" s="109"/>
      <c r="J2" s="109"/>
    </row>
    <row r="3" spans="2:10" ht="26.25" customHeight="1" x14ac:dyDescent="0.2">
      <c r="B3" s="792"/>
      <c r="C3" s="792"/>
      <c r="D3" s="792"/>
      <c r="E3" s="792"/>
      <c r="F3" s="792"/>
      <c r="H3" s="118"/>
      <c r="I3" s="109"/>
      <c r="J3" s="109"/>
    </row>
    <row r="4" spans="2:10" ht="5.0999999999999996" customHeight="1" x14ac:dyDescent="0.2">
      <c r="H4" s="118"/>
      <c r="I4" s="109"/>
      <c r="J4" s="109"/>
    </row>
    <row r="5" spans="2:10" x14ac:dyDescent="0.2">
      <c r="B5" s="1" t="s">
        <v>536</v>
      </c>
      <c r="D5" s="1" t="s">
        <v>537</v>
      </c>
      <c r="H5" s="118"/>
      <c r="I5" s="109"/>
      <c r="J5" s="109"/>
    </row>
    <row r="6" spans="2:10" ht="18.75" customHeight="1" x14ac:dyDescent="0.2">
      <c r="B6" s="405"/>
      <c r="D6" s="799"/>
      <c r="E6" s="799"/>
      <c r="F6" s="799"/>
      <c r="H6" s="118"/>
      <c r="I6" s="109"/>
      <c r="J6" s="109"/>
    </row>
    <row r="7" spans="2:10" s="361" customFormat="1" ht="5.0999999999999996" customHeight="1" x14ac:dyDescent="0.2">
      <c r="C7" s="362"/>
      <c r="D7" s="362"/>
      <c r="E7" s="362"/>
      <c r="F7" s="362" t="s">
        <v>529</v>
      </c>
      <c r="H7" s="363"/>
      <c r="I7" s="364"/>
      <c r="J7" s="364"/>
    </row>
    <row r="8" spans="2:10" ht="12.75" customHeight="1" x14ac:dyDescent="0.2">
      <c r="B8" s="297" t="s">
        <v>535</v>
      </c>
      <c r="C8" s="294"/>
      <c r="G8" s="4"/>
    </row>
    <row r="9" spans="2:10" ht="5.0999999999999996" customHeight="1" x14ac:dyDescent="0.2">
      <c r="G9" s="4"/>
    </row>
    <row r="10" spans="2:10" ht="12.75" customHeight="1" x14ac:dyDescent="0.2">
      <c r="B10" s="285" t="s">
        <v>522</v>
      </c>
      <c r="C10" s="777">
        <v>1000</v>
      </c>
      <c r="D10" s="776" t="s">
        <v>680</v>
      </c>
      <c r="F10" s="783">
        <v>0.12</v>
      </c>
    </row>
    <row r="11" spans="2:10" s="361" customFormat="1" ht="5.0999999999999996" customHeight="1" x14ac:dyDescent="0.2">
      <c r="B11" s="357"/>
      <c r="C11" s="358"/>
    </row>
    <row r="12" spans="2:10" ht="12.75" customHeight="1" x14ac:dyDescent="0.2">
      <c r="B12" s="285" t="s">
        <v>527</v>
      </c>
      <c r="C12" s="777">
        <v>8200</v>
      </c>
      <c r="D12" s="285" t="s">
        <v>681</v>
      </c>
      <c r="E12" s="285"/>
      <c r="F12" s="784">
        <v>10</v>
      </c>
    </row>
    <row r="13" spans="2:10" s="361" customFormat="1" ht="5.0999999999999996" customHeight="1" x14ac:dyDescent="0.25">
      <c r="B13" s="357"/>
      <c r="C13" s="358"/>
      <c r="D13" s="357"/>
      <c r="E13" s="357"/>
      <c r="F13" s="368"/>
      <c r="G13" s="360"/>
    </row>
    <row r="14" spans="2:10" ht="12.75" customHeight="1" x14ac:dyDescent="0.2">
      <c r="B14" s="17" t="s">
        <v>523</v>
      </c>
      <c r="C14" s="778">
        <v>12</v>
      </c>
      <c r="D14" s="285" t="s">
        <v>683</v>
      </c>
      <c r="E14" s="285"/>
      <c r="F14" s="783">
        <v>7</v>
      </c>
      <c r="G14" s="86"/>
      <c r="H14" s="35"/>
    </row>
    <row r="15" spans="2:10" s="361" customFormat="1" ht="5.0999999999999996" customHeight="1" x14ac:dyDescent="0.2">
      <c r="B15" s="366"/>
      <c r="C15" s="367"/>
      <c r="D15" s="357"/>
      <c r="E15" s="357"/>
      <c r="F15" s="365"/>
      <c r="G15" s="369"/>
    </row>
    <row r="16" spans="2:10" ht="12.75" customHeight="1" x14ac:dyDescent="0.2">
      <c r="B16" s="285" t="s">
        <v>533</v>
      </c>
      <c r="C16" s="779">
        <v>20</v>
      </c>
      <c r="D16" s="285" t="s">
        <v>684</v>
      </c>
      <c r="E16" s="285"/>
      <c r="F16" s="783">
        <v>6</v>
      </c>
      <c r="G16" s="86"/>
    </row>
    <row r="17" spans="1:18" s="361" customFormat="1" ht="5.0999999999999996" customHeight="1" x14ac:dyDescent="0.2">
      <c r="B17" s="357"/>
      <c r="C17" s="366"/>
      <c r="G17" s="369"/>
    </row>
    <row r="18" spans="1:18" ht="14.1" customHeight="1" x14ac:dyDescent="0.2">
      <c r="B18" s="285" t="s">
        <v>524</v>
      </c>
      <c r="C18" s="780">
        <v>0.05</v>
      </c>
      <c r="D18" s="286" t="s">
        <v>685</v>
      </c>
      <c r="F18" s="800" t="s">
        <v>687</v>
      </c>
      <c r="G18" s="86"/>
    </row>
    <row r="19" spans="1:18" s="361" customFormat="1" ht="6.95" customHeight="1" thickBot="1" x14ac:dyDescent="0.25">
      <c r="B19" s="357"/>
      <c r="C19" s="370"/>
      <c r="F19" s="801"/>
      <c r="G19" s="369"/>
    </row>
    <row r="20" spans="1:18" ht="12.75" customHeight="1" x14ac:dyDescent="0.2">
      <c r="B20" s="285" t="s">
        <v>550</v>
      </c>
      <c r="C20" s="781" t="s">
        <v>551</v>
      </c>
      <c r="D20" s="286" t="s">
        <v>678</v>
      </c>
      <c r="E20" s="285"/>
      <c r="F20" s="802" t="s">
        <v>118</v>
      </c>
      <c r="G20" s="86"/>
    </row>
    <row r="21" spans="1:18" ht="5.0999999999999996" customHeight="1" x14ac:dyDescent="0.2">
      <c r="B21" s="285"/>
      <c r="C21" s="333"/>
      <c r="D21" s="359"/>
      <c r="E21" s="357"/>
      <c r="F21" s="802"/>
      <c r="G21" s="86"/>
    </row>
    <row r="22" spans="1:18" x14ac:dyDescent="0.2">
      <c r="A22" s="286"/>
      <c r="B22" s="17" t="s">
        <v>682</v>
      </c>
      <c r="C22" s="782">
        <v>0</v>
      </c>
      <c r="D22" s="803" t="s">
        <v>686</v>
      </c>
      <c r="E22" s="803"/>
      <c r="F22" s="213" t="str">
        <f>IF('Carbon Calc 041118'!E25&gt;" ","(CO2 using Marginal Mix)"," ")</f>
        <v xml:space="preserve"> </v>
      </c>
      <c r="H22" s="110"/>
    </row>
    <row r="23" spans="1:18" ht="5.0999999999999996" customHeight="1" x14ac:dyDescent="0.2">
      <c r="B23" s="4"/>
      <c r="C23" s="4"/>
      <c r="D23" s="4"/>
      <c r="E23" s="4"/>
      <c r="F23" s="4"/>
      <c r="H23" s="110"/>
    </row>
    <row r="24" spans="1:18" ht="12.75" customHeight="1" x14ac:dyDescent="0.2">
      <c r="B24" s="785" t="s">
        <v>0</v>
      </c>
      <c r="C24" s="404">
        <f>IF(AND(C27&gt;0,C30/(0.1+C42)&lt;Assumptions!$F$82),C30/C42,"Out of range")</f>
        <v>3.6618083012415119</v>
      </c>
      <c r="D24" s="296">
        <f>IF(AND(D27&gt;0,D30/(0.1+D42)&lt;Assumptions!$F$82),D30/D42,"Out of range")</f>
        <v>3.4929129939231243</v>
      </c>
      <c r="E24" s="330">
        <f>IF(AND(E27&gt;0,E30/(0.1+E42)&lt;Assumptions!$F$82),E30/E42,"Out of range")</f>
        <v>4.6071636410860126</v>
      </c>
      <c r="F24" s="382">
        <f>IF(AND(F27&gt;0,F30/(0.1+F42)&lt;Assumptions!$F$82),F30/F42,"Out of range")</f>
        <v>5.71140720559647</v>
      </c>
      <c r="G24" s="21"/>
    </row>
    <row r="25" spans="1:18" ht="21.75" customHeight="1" x14ac:dyDescent="0.2">
      <c r="B25" s="17"/>
      <c r="C25" s="331" t="s">
        <v>534</v>
      </c>
      <c r="D25" s="332" t="s">
        <v>3</v>
      </c>
      <c r="E25" s="332" t="s">
        <v>4</v>
      </c>
      <c r="F25" s="332" t="s">
        <v>43</v>
      </c>
      <c r="G25" s="21"/>
    </row>
    <row r="26" spans="1:18" ht="2.25" customHeight="1" thickBot="1" x14ac:dyDescent="0.25">
      <c r="C26" s="87">
        <f>IF(C27=0,0,1)</f>
        <v>1</v>
      </c>
      <c r="D26" s="87">
        <f t="shared" ref="D26:F26" si="0">IF(D27=0,0,1)</f>
        <v>1</v>
      </c>
      <c r="E26" s="87">
        <f t="shared" si="0"/>
        <v>1</v>
      </c>
      <c r="F26" s="87">
        <f t="shared" si="0"/>
        <v>1</v>
      </c>
      <c r="G26" s="20"/>
    </row>
    <row r="27" spans="1:18" ht="12.75" customHeight="1" x14ac:dyDescent="0.2">
      <c r="B27" s="140" t="s">
        <v>7</v>
      </c>
      <c r="C27" s="388">
        <f>IF($C$10&lt;50,0,IF($C$10&gt;15000,0,$C$10))</f>
        <v>1000</v>
      </c>
      <c r="D27" s="304">
        <f>IF($C$10&lt;28,0,IF($C$10&gt;2000,0,$C$10))</f>
        <v>1000</v>
      </c>
      <c r="E27" s="305">
        <f>IF($C$10&lt;1000,0,IF($C$10&gt;50000,0,$C$10))</f>
        <v>1000</v>
      </c>
      <c r="F27" s="371">
        <f>IF($C$10&lt;200,0,IF($C$10&gt;2000,0,$C$10))</f>
        <v>1000</v>
      </c>
      <c r="G27" s="18"/>
      <c r="H27" s="793"/>
      <c r="I27" s="794"/>
      <c r="K27" s="4"/>
      <c r="L27" s="795"/>
      <c r="M27" s="796"/>
      <c r="Q27" s="795"/>
      <c r="R27" s="796"/>
    </row>
    <row r="28" spans="1:18" ht="12.75" customHeight="1" x14ac:dyDescent="0.2">
      <c r="B28" s="19" t="s">
        <v>8</v>
      </c>
      <c r="C28" s="389">
        <f>+C55*C27</f>
        <v>2837000</v>
      </c>
      <c r="D28" s="298">
        <f>+D55*D27</f>
        <v>2500000</v>
      </c>
      <c r="E28" s="299">
        <f>+E55*E27</f>
        <v>3281000</v>
      </c>
      <c r="F28" s="372">
        <f>+F55*F27</f>
        <v>4600000</v>
      </c>
      <c r="G28" s="228"/>
      <c r="H28" s="91"/>
      <c r="I28" s="91"/>
      <c r="K28" s="126"/>
      <c r="L28" s="113"/>
      <c r="M28" s="91"/>
      <c r="Q28" s="113"/>
      <c r="R28" s="91"/>
    </row>
    <row r="29" spans="1:18" ht="12.75" customHeight="1" x14ac:dyDescent="0.2">
      <c r="B29" s="19" t="s">
        <v>526</v>
      </c>
      <c r="C29" s="389">
        <f>IF(C20="Y",IF(C27&gt;0,C28*0.1,0),0)</f>
        <v>283700</v>
      </c>
      <c r="D29" s="298">
        <f>IF(C20="Y",IF(D27&gt;0,D28*0.1,0),0)</f>
        <v>250000</v>
      </c>
      <c r="E29" s="299">
        <f>IF(C20="Y",IF(E27&gt;0,E28*0.1,0),0)</f>
        <v>328100</v>
      </c>
      <c r="F29" s="372">
        <f>IF(C20="Y",IF(F27&gt;0,IF(F28*0.3&gt;C10*3000,3000*C10,F28*0.3),0),0)</f>
        <v>1380000</v>
      </c>
      <c r="G29" s="142"/>
      <c r="H29" s="127"/>
      <c r="I29" s="128"/>
      <c r="K29" s="126"/>
      <c r="L29" s="125"/>
      <c r="M29" s="100"/>
      <c r="Q29" s="125"/>
      <c r="R29" s="100"/>
    </row>
    <row r="30" spans="1:18" ht="12.75" customHeight="1" x14ac:dyDescent="0.2">
      <c r="B30" s="19" t="s">
        <v>517</v>
      </c>
      <c r="C30" s="389">
        <f>IF(C27&gt;0,C28-$C$22-C29,0)</f>
        <v>2553300</v>
      </c>
      <c r="D30" s="300">
        <f>IF(D27&gt;0,D28-$C$22-D29,0)</f>
        <v>2250000</v>
      </c>
      <c r="E30" s="301">
        <f>IF(E27&gt;0,E28-$C$22-E29,0)</f>
        <v>2952900</v>
      </c>
      <c r="F30" s="373">
        <f>IF(F27&gt;0,F28-$C$22-F29,0)</f>
        <v>3220000</v>
      </c>
      <c r="G30" s="9"/>
      <c r="H30" s="127"/>
      <c r="I30" s="128"/>
      <c r="K30" s="126"/>
      <c r="L30" s="125"/>
      <c r="M30" s="100"/>
      <c r="Q30" s="125"/>
      <c r="R30" s="100"/>
    </row>
    <row r="31" spans="1:18" ht="12.75" customHeight="1" x14ac:dyDescent="0.2">
      <c r="B31" s="19" t="s">
        <v>52</v>
      </c>
      <c r="C31" s="389">
        <f>+C59*C32</f>
        <v>172200</v>
      </c>
      <c r="D31" s="298">
        <f>+D59*D32</f>
        <v>98400</v>
      </c>
      <c r="E31" s="299">
        <f>+E59*E32</f>
        <v>103320</v>
      </c>
      <c r="F31" s="372">
        <f>+F59*F32</f>
        <v>328000</v>
      </c>
      <c r="G31" s="9"/>
      <c r="H31" s="127"/>
      <c r="I31" s="128"/>
      <c r="K31" s="126"/>
      <c r="L31" s="125"/>
      <c r="M31" s="100"/>
      <c r="Q31" s="125"/>
      <c r="R31" s="100"/>
    </row>
    <row r="32" spans="1:18" ht="12.75" customHeight="1" x14ac:dyDescent="0.2">
      <c r="B32" s="408" t="s">
        <v>34</v>
      </c>
      <c r="C32" s="390">
        <f>+$C$27*$C$12</f>
        <v>8200000</v>
      </c>
      <c r="D32" s="302">
        <f>+$D$27*$C$12</f>
        <v>8200000</v>
      </c>
      <c r="E32" s="303">
        <f>+$E$27*$C$12</f>
        <v>8200000</v>
      </c>
      <c r="F32" s="374">
        <f>+$F$27*$C$12</f>
        <v>8200000</v>
      </c>
      <c r="G32" s="10"/>
      <c r="H32" s="129"/>
      <c r="I32" s="130"/>
      <c r="K32" s="126"/>
      <c r="L32" s="125"/>
      <c r="M32" s="100"/>
      <c r="Q32" s="4"/>
      <c r="R32" s="4"/>
    </row>
    <row r="33" spans="2:13" ht="12.75" customHeight="1" x14ac:dyDescent="0.2">
      <c r="B33" s="19" t="s">
        <v>47</v>
      </c>
      <c r="C33" s="389">
        <f>+$F$12*$C$27*$C$14</f>
        <v>120000</v>
      </c>
      <c r="D33" s="300">
        <f>+$F$12*$D$27*$C$14</f>
        <v>120000</v>
      </c>
      <c r="E33" s="301">
        <f>+$F$12*$E$27*$C$14</f>
        <v>120000</v>
      </c>
      <c r="F33" s="373">
        <f>+$F$12*$F$27*$C$14</f>
        <v>120000</v>
      </c>
      <c r="G33" s="10"/>
      <c r="H33" s="127"/>
      <c r="I33" s="128"/>
      <c r="K33" s="126"/>
      <c r="L33" s="125"/>
      <c r="M33" s="100"/>
    </row>
    <row r="34" spans="2:13" ht="12.75" customHeight="1" x14ac:dyDescent="0.2">
      <c r="B34" s="19" t="s">
        <v>11</v>
      </c>
      <c r="C34" s="391">
        <f>+C32*$F$10</f>
        <v>984000</v>
      </c>
      <c r="D34" s="298">
        <f>+D32*$F$10</f>
        <v>984000</v>
      </c>
      <c r="E34" s="299">
        <f>+E32*$F$10</f>
        <v>984000</v>
      </c>
      <c r="F34" s="372">
        <f>+F32*$F$10</f>
        <v>984000</v>
      </c>
      <c r="G34" s="10"/>
      <c r="H34" s="127"/>
      <c r="I34" s="128"/>
      <c r="K34" s="126"/>
      <c r="L34" s="4"/>
      <c r="M34" s="4"/>
    </row>
    <row r="35" spans="2:13" ht="7.5" customHeight="1" thickBot="1" x14ac:dyDescent="0.25">
      <c r="B35" s="3"/>
      <c r="C35" s="392"/>
      <c r="D35" s="288"/>
      <c r="E35" s="292"/>
      <c r="F35" s="375"/>
      <c r="G35" s="21"/>
      <c r="H35" s="5"/>
      <c r="I35" s="5"/>
      <c r="K35" s="4"/>
      <c r="L35" s="4"/>
      <c r="M35" s="4"/>
    </row>
    <row r="36" spans="2:13" ht="12.75" customHeight="1" x14ac:dyDescent="0.2">
      <c r="B36" s="409" t="s">
        <v>12</v>
      </c>
      <c r="C36" s="393">
        <f>IF(C27&gt;0,((C58*$C$12)*$F$16),0)</f>
        <v>486559.24170616106</v>
      </c>
      <c r="D36" s="306">
        <f>+(D58*$C$12)*$F$16</f>
        <v>629501.05263157899</v>
      </c>
      <c r="E36" s="307">
        <f>+(E58*$C$12)*$F$16</f>
        <v>701368.03874092014</v>
      </c>
      <c r="F36" s="376">
        <f>+(F58*$C$12)*$F$16</f>
        <v>393600</v>
      </c>
      <c r="G36" s="21"/>
      <c r="H36" s="81"/>
      <c r="I36" s="5"/>
    </row>
    <row r="37" spans="2:13" ht="12.75" customHeight="1" x14ac:dyDescent="0.2">
      <c r="B37" s="19" t="s">
        <v>29</v>
      </c>
      <c r="C37" s="394">
        <f>IF(C27&gt;0,(C58*C57*$C$12),0)</f>
        <v>36005.383886255928</v>
      </c>
      <c r="D37" s="310">
        <f>+D58*D57*$C$12</f>
        <v>38294.64736842105</v>
      </c>
      <c r="E37" s="311">
        <f>+E58*E57*$C$12</f>
        <v>48803.526029055698</v>
      </c>
      <c r="F37" s="377">
        <f>+F58*F57*$C$12</f>
        <v>25911.999999999996</v>
      </c>
      <c r="G37" s="11"/>
      <c r="H37" s="81"/>
      <c r="I37" s="5"/>
    </row>
    <row r="38" spans="2:13" ht="12.75" customHeight="1" thickBot="1" x14ac:dyDescent="0.25">
      <c r="B38" s="41" t="s">
        <v>48</v>
      </c>
      <c r="C38" s="395">
        <f>+C37*$F$14</f>
        <v>252037.68720379149</v>
      </c>
      <c r="D38" s="308">
        <f>+D37*$F$14</f>
        <v>268062.53157894732</v>
      </c>
      <c r="E38" s="309">
        <f>+E37*$F$14</f>
        <v>341624.68220338988</v>
      </c>
      <c r="F38" s="378">
        <f>+F37*$F$14</f>
        <v>181383.99999999997</v>
      </c>
      <c r="G38" s="22"/>
      <c r="H38" s="81"/>
      <c r="I38" s="5"/>
    </row>
    <row r="39" spans="2:13" ht="7.5" customHeight="1" x14ac:dyDescent="0.2">
      <c r="B39" s="3"/>
      <c r="C39" s="396"/>
      <c r="D39" s="289"/>
      <c r="E39" s="293"/>
      <c r="F39" s="379"/>
      <c r="G39" s="22"/>
      <c r="H39" s="81"/>
      <c r="I39" s="5"/>
    </row>
    <row r="40" spans="2:13" ht="12.75" customHeight="1" x14ac:dyDescent="0.2">
      <c r="B40" s="408" t="s">
        <v>46</v>
      </c>
      <c r="C40" s="391">
        <f>+C36+C31</f>
        <v>658759.24170616106</v>
      </c>
      <c r="D40" s="298">
        <f>+D36+D31</f>
        <v>727901.05263157899</v>
      </c>
      <c r="E40" s="299">
        <f>+E36+E31</f>
        <v>804688.03874092014</v>
      </c>
      <c r="F40" s="372">
        <f>+F36+F31</f>
        <v>721600</v>
      </c>
      <c r="G40" s="23"/>
      <c r="H40" s="81"/>
      <c r="I40" s="5"/>
    </row>
    <row r="41" spans="2:13" ht="12.75" customHeight="1" x14ac:dyDescent="0.2">
      <c r="B41" s="408" t="s">
        <v>51</v>
      </c>
      <c r="C41" s="397">
        <f>+C33+C34+C38</f>
        <v>1356037.6872037915</v>
      </c>
      <c r="D41" s="312">
        <f>+D33+D34+D38</f>
        <v>1372062.5315789473</v>
      </c>
      <c r="E41" s="313">
        <f>+E33+E34+E38</f>
        <v>1445624.6822033899</v>
      </c>
      <c r="F41" s="380">
        <f>+F33+F34+F38</f>
        <v>1285384</v>
      </c>
      <c r="G41" s="24"/>
      <c r="H41" s="81"/>
      <c r="I41" s="5"/>
    </row>
    <row r="42" spans="2:13" ht="12.75" customHeight="1" thickBot="1" x14ac:dyDescent="0.25">
      <c r="B42" s="287" t="s">
        <v>13</v>
      </c>
      <c r="C42" s="398">
        <f>+C41-C40</f>
        <v>697278.4454976304</v>
      </c>
      <c r="D42" s="314">
        <f t="shared" ref="D42:F42" si="1">+D41-D40</f>
        <v>644161.47894736833</v>
      </c>
      <c r="E42" s="315">
        <f t="shared" si="1"/>
        <v>640936.6434624698</v>
      </c>
      <c r="F42" s="381">
        <f t="shared" si="1"/>
        <v>563784</v>
      </c>
      <c r="G42" s="25"/>
      <c r="H42" s="81"/>
      <c r="I42" s="5"/>
    </row>
    <row r="43" spans="2:13" ht="12.75" customHeight="1" thickBot="1" x14ac:dyDescent="0.25">
      <c r="B43" s="16"/>
      <c r="C43" s="316"/>
      <c r="D43" s="316"/>
      <c r="E43" s="316"/>
      <c r="F43" s="316"/>
      <c r="G43" s="6"/>
    </row>
    <row r="44" spans="2:13" ht="12.75" customHeight="1" x14ac:dyDescent="0.2">
      <c r="B44" s="121" t="s">
        <v>36</v>
      </c>
      <c r="C44" s="399">
        <f>+C42/12</f>
        <v>58106.537124802533</v>
      </c>
      <c r="D44" s="317">
        <f>+D42/12</f>
        <v>53680.123245614028</v>
      </c>
      <c r="E44" s="318">
        <f>+E42/12</f>
        <v>53411.386955205817</v>
      </c>
      <c r="F44" s="383">
        <f>+F42/12</f>
        <v>46982</v>
      </c>
      <c r="G44" s="6"/>
    </row>
    <row r="45" spans="2:13" s="5" customFormat="1" ht="12.75" customHeight="1" x14ac:dyDescent="0.2">
      <c r="B45" s="406" t="s">
        <v>35</v>
      </c>
      <c r="C45" s="400">
        <f>PMT($C$18/12,12*$C$16,C30)*-1</f>
        <v>16850.649889418914</v>
      </c>
      <c r="D45" s="319">
        <f>PMT($C$18/12,12*$C$16,D30)*-1</f>
        <v>14849.004132374792</v>
      </c>
      <c r="E45" s="320">
        <f>PMT($C$18/12,12*$C$16,E30)*-1</f>
        <v>19487.833023328676</v>
      </c>
      <c r="F45" s="384">
        <f>PMT($C$18/12,12*$C$16,F30)*-1</f>
        <v>21250.574802776369</v>
      </c>
      <c r="G45" s="6"/>
    </row>
    <row r="46" spans="2:13" s="5" customFormat="1" ht="12.75" customHeight="1" x14ac:dyDescent="0.2">
      <c r="B46" s="406" t="s">
        <v>50</v>
      </c>
      <c r="C46" s="400">
        <f>+C44-C45</f>
        <v>41255.88723538362</v>
      </c>
      <c r="D46" s="319">
        <f t="shared" ref="D46:F46" si="2">+D44-D45</f>
        <v>38831.119113239234</v>
      </c>
      <c r="E46" s="320">
        <f t="shared" si="2"/>
        <v>33923.553931877141</v>
      </c>
      <c r="F46" s="384">
        <f t="shared" si="2"/>
        <v>25731.425197223631</v>
      </c>
      <c r="G46" s="12"/>
    </row>
    <row r="47" spans="2:13" s="5" customFormat="1" ht="12.75" customHeight="1" thickBot="1" x14ac:dyDescent="0.25">
      <c r="B47" s="122" t="s">
        <v>538</v>
      </c>
      <c r="C47" s="401">
        <f>IF(C27&gt;0,IRR(Assumptions!C86:C106,0.1)," ")</f>
        <v>0.27082667356151435</v>
      </c>
      <c r="D47" s="321">
        <f>IF(D27&gt;0,IRR(Assumptions!D86:D106,0.1)," ")</f>
        <v>0.28437544401686576</v>
      </c>
      <c r="E47" s="322">
        <f>IF(E27&gt;0,IRR(Assumptions!E86:E106,0.1)," ")</f>
        <v>0.21244745510744267</v>
      </c>
      <c r="F47" s="385">
        <f>IF(F27&gt;0,IRR(Assumptions!F86:F106,0.1)," ")</f>
        <v>0.16712878099383643</v>
      </c>
      <c r="G47" s="12"/>
    </row>
    <row r="48" spans="2:13" s="5" customFormat="1" ht="12.75" customHeight="1" thickBot="1" x14ac:dyDescent="0.25">
      <c r="B48" s="17"/>
      <c r="C48" s="271"/>
      <c r="D48" s="271"/>
      <c r="E48" s="271"/>
      <c r="F48" s="271"/>
      <c r="G48" s="12"/>
    </row>
    <row r="49" spans="2:7" s="5" customFormat="1" ht="12.75" customHeight="1" x14ac:dyDescent="0.2">
      <c r="B49" s="121" t="s">
        <v>528</v>
      </c>
      <c r="C49" s="402">
        <f>IF(C27&gt;0,'Carbon Calc 041118'!G54/2000,0)</f>
        <v>4632.5021297081576</v>
      </c>
      <c r="D49" s="323">
        <f>IF(D27&gt;0,'Carbon Calc 041118'!I54/2000,0)</f>
        <v>3399.4400237358113</v>
      </c>
      <c r="E49" s="324">
        <f>IF(E27&gt;0,'Carbon Calc 041118'!K54/2000,0)</f>
        <v>3467.573394769327</v>
      </c>
      <c r="F49" s="386">
        <f>IF(F27&gt;0,'Carbon Calc 041118'!M54/2000,0)</f>
        <v>4801.7066646026842</v>
      </c>
      <c r="G49" s="12"/>
    </row>
    <row r="50" spans="2:7" s="5" customFormat="1" ht="12.75" customHeight="1" x14ac:dyDescent="0.2">
      <c r="B50" s="406" t="s">
        <v>509</v>
      </c>
      <c r="C50" s="390">
        <f>IF(C27&gt;0,'Carbon Calc 041118'!G61,0)</f>
        <v>888.49436853217276</v>
      </c>
      <c r="D50" s="302">
        <f>IF(D27&gt;0,'Carbon Calc 041118'!I61,0)</f>
        <v>651.99825767644609</v>
      </c>
      <c r="E50" s="303">
        <f>IF(E27&gt;0,'Carbon Calc 041118'!K61,0)</f>
        <v>665.06595085335255</v>
      </c>
      <c r="F50" s="374">
        <f>IF(F27&gt;0,'Carbon Calc 041118'!M61,0)</f>
        <v>920.94708461832045</v>
      </c>
      <c r="G50" s="12"/>
    </row>
    <row r="51" spans="2:7" s="5" customFormat="1" ht="12.75" customHeight="1" thickBot="1" x14ac:dyDescent="0.25">
      <c r="B51" s="407" t="s">
        <v>510</v>
      </c>
      <c r="C51" s="403">
        <f>IF(C27&gt;0,'Carbon Calc 041118'!G62,0)</f>
        <v>620.58156573496422</v>
      </c>
      <c r="D51" s="325">
        <f>IF(D27&gt;0,'Carbon Calc 041118'!I62,0)</f>
        <v>455.39748358086086</v>
      </c>
      <c r="E51" s="326">
        <f>IF(E27&gt;0,'Carbon Calc 041118'!K62,0)</f>
        <v>464.52480028593584</v>
      </c>
      <c r="F51" s="387">
        <f>IF(F27&gt;0,'Carbon Calc 041118'!M62,0)</f>
        <v>643.24862821096508</v>
      </c>
      <c r="G51" s="12"/>
    </row>
    <row r="52" spans="2:7" s="5" customFormat="1" ht="7.5" customHeight="1" x14ac:dyDescent="0.2">
      <c r="B52" s="279"/>
      <c r="C52" s="11"/>
      <c r="D52" s="25"/>
      <c r="E52" s="13"/>
      <c r="F52" s="13"/>
      <c r="G52" s="13"/>
    </row>
    <row r="53" spans="2:7" s="5" customFormat="1" ht="10.5" customHeight="1" x14ac:dyDescent="0.2">
      <c r="B53" s="17" t="s">
        <v>2</v>
      </c>
      <c r="G53" s="13"/>
    </row>
    <row r="54" spans="2:7" s="5" customFormat="1" x14ac:dyDescent="0.2">
      <c r="B54" s="334" t="s">
        <v>41</v>
      </c>
      <c r="C54" s="335" t="s">
        <v>174</v>
      </c>
      <c r="D54" s="336" t="s">
        <v>166</v>
      </c>
      <c r="E54" s="336" t="s">
        <v>167</v>
      </c>
      <c r="F54" s="337" t="s">
        <v>185</v>
      </c>
      <c r="G54" s="13"/>
    </row>
    <row r="55" spans="2:7" s="5" customFormat="1" x14ac:dyDescent="0.2">
      <c r="B55" s="338" t="s">
        <v>33</v>
      </c>
      <c r="C55" s="339">
        <f>IF($C$27&gt;Assumptions!I$32-1,Assumptions!I33,IF($C$27&gt;Assumptions!H$32-1,Assumptions!H33,IF($C$27&gt;Assumptions!G$32-1,Assumptions!G33,IF($C$27&gt;Assumptions!F$32-1,Assumptions!F33,Assumptions!E33))))*C26</f>
        <v>2837</v>
      </c>
      <c r="D55" s="339">
        <f>IF($D$27&gt;900,Assumptions!J22,IF($D$27&gt;Assumptions!I$21-1,Assumptions!I22,IF($D$27&gt;Assumptions!H$21-1,Assumptions!H22,IF($D$27&gt;Assumptions!G$21-1,Assumptions!G22,IF($D$27&gt;Assumptions!F$21-1,Assumptions!F22,Assumptions!E22)))))*D26</f>
        <v>2500</v>
      </c>
      <c r="E55" s="339">
        <f>IF($E$27&gt;Assumptions!I$11-1,Assumptions!I12,IF($E$27&gt;Assumptions!H$11-1,Assumptions!H12,IF($E$27&gt;Assumptions!G$11-1,Assumptions!G12,IF($E$27&gt;Assumptions!F$11-1,Assumptions!F12,Assumptions!E12))))*E26</f>
        <v>3281</v>
      </c>
      <c r="F55" s="339">
        <f>IF($C$10&gt;999,Assumptions!I46,IF($C$10&gt;400-1,Assumptions!H46,IF($C$10&gt;199,Assumptions!G46,IF($C$10&gt;1,Assumptions!F46,Assumptions!E46))))*F26</f>
        <v>4600</v>
      </c>
      <c r="G55" s="13"/>
    </row>
    <row r="56" spans="2:7" s="5" customFormat="1" x14ac:dyDescent="0.2">
      <c r="B56" s="338" t="s">
        <v>126</v>
      </c>
      <c r="C56" s="340">
        <f>IF($C$27&gt;Assumptions!I$32-1,Assumptions!I39,IF($C$27&gt;Assumptions!H$32-1,Assumptions!H39,IF($C$27&gt;Assumptions!G$32-1,Assumptions!G39,IF($C$27&gt;Assumptions!F$32-1,Assumptions!F39,Assumptions!E39))))*C26</f>
        <v>0.78900000000000003</v>
      </c>
      <c r="D56" s="340">
        <f>IF($D$27&gt;900,Assumptions!J29,IF($D$27&gt;Assumptions!I$21-1,Assumptions!I29,IF($D$27&gt;Assumptions!H$21-1,Assumptions!H29,IF($D$27&gt;Assumptions!G$21-1,Assumptions!G29,IF($D$27&gt;Assumptions!F$21-1,Assumptions!F29,Assumptions!E29)))))</f>
        <v>0.63100000000000001</v>
      </c>
      <c r="E56" s="340">
        <f>IF($E$27&gt;Assumptions!I$11-1,Assumptions!I18,IF($E$27&gt;Assumptions!H$11-1,Assumptions!H18,IF($E$27&gt;Assumptions!G$11-1,Assumptions!G18,IF($E$27&gt;3499,Assumptions!F18,Assumptions!E18))))*E26</f>
        <v>0.65700000000000003</v>
      </c>
      <c r="F56" s="341">
        <f>IF($C$10&gt;999,Assumptions!I52,IF($C$10&gt;400-1,Assumptions!H52,IF($C$10&gt;199,Assumptions!G52,IF($C$10&gt;1,Assumptions!F52,Assumptions!E52))))*F26</f>
        <v>0.82</v>
      </c>
      <c r="G56" s="13"/>
    </row>
    <row r="57" spans="2:7" s="5" customFormat="1" x14ac:dyDescent="0.2">
      <c r="B57" s="342" t="s">
        <v>6</v>
      </c>
      <c r="C57" s="340">
        <f>IF($C$27&gt;Assumptions!I$32-1,Assumptions!I35,IF($C$27&gt;Assumptions!H$32-1,Assumptions!H35,IF($C$27&gt;Assumptions!G$32-1,Assumptions!G35,IF($C$27&gt;Assumptions!F$32-1,Assumptions!F35,Assumptions!E35))))*C26</f>
        <v>0.44400000000000006</v>
      </c>
      <c r="D57" s="340">
        <f>IF($D$27&gt;900,Assumptions!J24,IF($D$27&gt;Assumptions!I$21-1,Assumptions!I24,IF($D$27&gt;Assumptions!H$21-1,Assumptions!H24,IF($D$27&gt;Assumptions!G$21-1,Assumptions!G24,IF($D$27&gt;Assumptions!F$21-1,Assumptions!F24,Assumptions!E24)))))*D26</f>
        <v>0.36499999999999999</v>
      </c>
      <c r="E57" s="340">
        <f>IF($E$27&gt;Assumptions!I$11-1,Assumptions!I14,IF($E$27&gt;Assumptions!H$11-1,Assumptions!H14,IF($E$27&gt;Assumptions!G$11-1,Assumptions!G14,IF($E$27&gt;3499,Assumptions!F14,Assumptions!E14))))*E26</f>
        <v>0.41750000000000004</v>
      </c>
      <c r="F57" s="341">
        <f>IF($C$10&gt;999,Assumptions!I48,IF($C$10&gt;400-1,Assumptions!H48,IF($C$10&gt;199,Assumptions!G48,IF($C$10&gt;1,Assumptions!F48,Assumptions!E48))))*F26</f>
        <v>0.39499999999999996</v>
      </c>
      <c r="G57" s="13"/>
    </row>
    <row r="58" spans="2:7" s="5" customFormat="1" x14ac:dyDescent="0.2">
      <c r="B58" s="338" t="s">
        <v>27</v>
      </c>
      <c r="C58" s="343">
        <f>IF($C$27&gt;Assumptions!I$32-1,Assumptions!I36,IF($C$27&gt;Assumptions!H$32-1,Assumptions!H36,IF($C$27&gt;Assumptions!G$32-1,Assumptions!G36,IF($C$27&gt;Assumptions!F$32-1,Assumptions!F36,Assumptions!E36))))*C27</f>
        <v>9.8894154818325433</v>
      </c>
      <c r="D58" s="343">
        <f>IF($D$27&gt;900,Assumptions!J25,IF($D$27&gt;Assumptions!I$21-1,Assumptions!I25,IF($D$27&gt;Assumptions!H$21-1,Assumptions!H25,IF($D$27&gt;Assumptions!G$21-1,Assumptions!G25,IF($D$27&gt;Assumptions!F$21-1,Assumptions!F25,Assumptions!E25)))))*D27</f>
        <v>12.794736842105264</v>
      </c>
      <c r="E58" s="343">
        <f>IF($E$27&gt;Assumptions!I$11-1,Assumptions!I15,IF($E$27&gt;Assumptions!H$11-1,Assumptions!H15,IF($E$27&gt;Assumptions!G$11-1,Assumptions!G15,IF($E$27&gt;3499,Assumptions!F15,Assumptions!E15))))*E27</f>
        <v>14.255447941888621</v>
      </c>
      <c r="F58" s="343">
        <f>IF($C$10&gt;999,Assumptions!I49,IF($C$10&gt;400-1,Assumptions!H49,IF($C$10&gt;199,Assumptions!G49,IF($C$10&gt;1,Assumptions!F49,Assumptions!E49))))*F27</f>
        <v>8</v>
      </c>
      <c r="G58" s="13"/>
    </row>
    <row r="59" spans="2:7" s="5" customFormat="1" x14ac:dyDescent="0.2">
      <c r="B59" s="338" t="s">
        <v>28</v>
      </c>
      <c r="C59" s="344">
        <f>IF($C$27&gt;Assumptions!I$32-1,Assumptions!I37,IF($C$27&gt;Assumptions!H$32-1,Assumptions!H37,IF($C$27&gt;Assumptions!G$32-1,Assumptions!G37,IF($C$27&gt;Assumptions!F$32-1,Assumptions!F37,Assumptions!E37))))*C26</f>
        <v>2.1000000000000001E-2</v>
      </c>
      <c r="D59" s="345">
        <f>IF($D$27&gt;900,Assumptions!J26,IF($D$27&gt;Assumptions!I$21-1,Assumptions!I26,IF($D$27&gt;Assumptions!H$21-1,Assumptions!H26,IF($D$27&gt;Assumptions!G$21-1,Assumptions!G26,IF($D$27&gt;Assumptions!F$21-1,Assumptions!F26,Assumptions!E26)))))*D26</f>
        <v>1.2E-2</v>
      </c>
      <c r="E59" s="344">
        <f>IF($E$27&gt;Assumptions!I$11-1,Assumptions!I16,IF($E$27&gt;Assumptions!H$11-1,Assumptions!H16,IF($E$27&gt;Assumptions!G$11-1,Assumptions!G16,IF($E$27&gt;3499,Assumptions!F16,Assumptions!E16))))*E26</f>
        <v>1.26E-2</v>
      </c>
      <c r="F59" s="344">
        <f>IF($C$10&gt;999,Assumptions!I50,IF($C$10&gt;400-1,Assumptions!H50,IF($C$10&gt;199,Assumptions!G50,IF($C$10&gt;1,Assumptions!F50,Assumptions!E50))))*F26</f>
        <v>0.04</v>
      </c>
      <c r="G59" s="13"/>
    </row>
    <row r="60" spans="2:7" s="5" customFormat="1" ht="33.75" customHeight="1" x14ac:dyDescent="0.2">
      <c r="B60" s="346" t="s">
        <v>45</v>
      </c>
      <c r="C60" s="290" t="s">
        <v>553</v>
      </c>
      <c r="D60" s="290" t="s">
        <v>525</v>
      </c>
      <c r="E60" s="290" t="s">
        <v>58</v>
      </c>
      <c r="F60" s="291" t="s">
        <v>189</v>
      </c>
      <c r="G60" s="13"/>
    </row>
    <row r="61" spans="2:7" s="5" customFormat="1" x14ac:dyDescent="0.2">
      <c r="B61" s="18"/>
      <c r="C61" s="22"/>
      <c r="D61" s="12"/>
      <c r="E61" s="12"/>
      <c r="F61" s="12"/>
      <c r="G61" s="12"/>
    </row>
    <row r="62" spans="2:7" s="5" customFormat="1" ht="12.75" customHeight="1" x14ac:dyDescent="0.2">
      <c r="G62" s="12"/>
    </row>
    <row r="63" spans="2:7" s="5" customFormat="1" x14ac:dyDescent="0.2">
      <c r="B63" s="18"/>
      <c r="C63" s="11"/>
      <c r="D63" s="27"/>
      <c r="E63" s="27"/>
      <c r="F63" s="27"/>
      <c r="G63" s="27"/>
    </row>
    <row r="64" spans="2:7" s="5" customFormat="1" x14ac:dyDescent="0.2">
      <c r="B64" s="18"/>
      <c r="C64" s="11"/>
      <c r="D64" s="27"/>
      <c r="E64" s="27"/>
      <c r="F64" s="27"/>
      <c r="G64" s="27"/>
    </row>
    <row r="65" spans="2:7" s="5" customFormat="1" x14ac:dyDescent="0.2">
      <c r="B65" s="18"/>
      <c r="C65" s="11"/>
      <c r="D65" s="27"/>
      <c r="E65" s="27"/>
      <c r="F65" s="27"/>
      <c r="G65" s="27"/>
    </row>
    <row r="66" spans="2:7" s="5" customFormat="1" x14ac:dyDescent="0.2">
      <c r="B66" s="18"/>
      <c r="C66" s="11"/>
      <c r="D66" s="27"/>
      <c r="E66" s="27"/>
      <c r="F66" s="27"/>
      <c r="G66" s="27"/>
    </row>
    <row r="67" spans="2:7" s="5" customFormat="1" x14ac:dyDescent="0.2">
      <c r="B67" s="18"/>
      <c r="C67" s="11"/>
      <c r="D67" s="27"/>
      <c r="E67" s="27"/>
      <c r="F67" s="27"/>
      <c r="G67" s="27"/>
    </row>
    <row r="68" spans="2:7" s="5" customFormat="1" x14ac:dyDescent="0.2">
      <c r="B68" s="18"/>
      <c r="C68" s="11"/>
      <c r="D68" s="27"/>
      <c r="E68" s="27"/>
      <c r="F68" s="27"/>
      <c r="G68" s="27"/>
    </row>
    <row r="69" spans="2:7" s="5" customFormat="1" x14ac:dyDescent="0.2">
      <c r="B69" s="17"/>
      <c r="D69" s="26"/>
      <c r="E69" s="26"/>
      <c r="F69" s="26"/>
      <c r="G69" s="26"/>
    </row>
    <row r="70" spans="2:7" s="5" customFormat="1" x14ac:dyDescent="0.2">
      <c r="D70" s="106"/>
      <c r="E70" s="106"/>
      <c r="F70" s="106"/>
      <c r="G70" s="12"/>
    </row>
    <row r="71" spans="2:7" s="5" customFormat="1" x14ac:dyDescent="0.2">
      <c r="B71" s="18"/>
      <c r="C71" s="26"/>
      <c r="D71" s="26"/>
      <c r="E71" s="26"/>
      <c r="F71" s="26"/>
      <c r="G71" s="7"/>
    </row>
    <row r="72" spans="2:7" s="5" customFormat="1" x14ac:dyDescent="0.2">
      <c r="B72" s="123"/>
      <c r="C72" s="26"/>
      <c r="D72" s="26"/>
      <c r="E72" s="26"/>
      <c r="F72" s="26"/>
      <c r="G72" s="28"/>
    </row>
    <row r="73" spans="2:7" s="5" customFormat="1" x14ac:dyDescent="0.2">
      <c r="B73" s="124"/>
      <c r="C73" s="26"/>
      <c r="D73" s="26"/>
      <c r="E73" s="26"/>
      <c r="F73" s="26"/>
      <c r="G73" s="7"/>
    </row>
    <row r="74" spans="2:7" s="5" customFormat="1" x14ac:dyDescent="0.2">
      <c r="B74" s="18"/>
      <c r="C74" s="26"/>
      <c r="D74" s="26"/>
      <c r="E74" s="26"/>
      <c r="F74" s="26"/>
      <c r="G74" s="8"/>
    </row>
    <row r="75" spans="2:7" s="5" customFormat="1" x14ac:dyDescent="0.2">
      <c r="B75" s="17"/>
      <c r="C75" s="26"/>
      <c r="D75" s="26"/>
      <c r="E75" s="26"/>
      <c r="F75" s="26"/>
      <c r="G75" s="26"/>
    </row>
    <row r="76" spans="2:7" s="5" customFormat="1" ht="118.5" customHeight="1" x14ac:dyDescent="0.2">
      <c r="B76" s="797" t="s">
        <v>552</v>
      </c>
      <c r="C76" s="798"/>
      <c r="D76" s="798"/>
      <c r="E76" s="798"/>
      <c r="F76" s="798"/>
    </row>
    <row r="77" spans="2:7" s="5" customFormat="1" ht="15" x14ac:dyDescent="0.25">
      <c r="B77" s="278"/>
      <c r="C77" s="26"/>
      <c r="D77" s="26"/>
      <c r="E77" s="26"/>
      <c r="F77" s="26"/>
      <c r="G77" s="14"/>
    </row>
    <row r="78" spans="2:7" s="5" customFormat="1" x14ac:dyDescent="0.2">
      <c r="B78" s="18"/>
      <c r="C78" s="26"/>
      <c r="D78" s="26"/>
      <c r="E78" s="26"/>
      <c r="F78" s="26"/>
      <c r="G78" s="14"/>
    </row>
    <row r="79" spans="2:7" s="5" customFormat="1" x14ac:dyDescent="0.2">
      <c r="B79" s="17"/>
      <c r="C79" s="26"/>
      <c r="D79" s="26"/>
      <c r="E79" s="26"/>
      <c r="F79" s="26"/>
      <c r="G79" s="15"/>
    </row>
    <row r="80" spans="2:7" x14ac:dyDescent="0.2">
      <c r="B80" s="18"/>
      <c r="C80" s="26"/>
      <c r="D80" s="26"/>
      <c r="E80" s="26"/>
      <c r="F80" s="26"/>
      <c r="G80" s="5"/>
    </row>
    <row r="81" spans="2:7" x14ac:dyDescent="0.2">
      <c r="B81" s="89"/>
      <c r="C81" s="90"/>
      <c r="G81" s="5"/>
    </row>
    <row r="82" spans="2:7" x14ac:dyDescent="0.2">
      <c r="B82" s="88"/>
      <c r="C82" s="90"/>
    </row>
    <row r="83" spans="2:7" x14ac:dyDescent="0.2">
      <c r="B83" s="89"/>
      <c r="C83" s="90"/>
    </row>
    <row r="84" spans="2:7" x14ac:dyDescent="0.2">
      <c r="B84" s="88"/>
      <c r="C84" s="90"/>
    </row>
    <row r="85" spans="2:7" x14ac:dyDescent="0.2">
      <c r="B85" s="89"/>
      <c r="C85" s="90"/>
    </row>
    <row r="86" spans="2:7" x14ac:dyDescent="0.2">
      <c r="B86" s="88"/>
      <c r="C86" s="90"/>
    </row>
    <row r="87" spans="2:7" x14ac:dyDescent="0.2">
      <c r="B87" s="89"/>
      <c r="C87" s="90"/>
    </row>
    <row r="88" spans="2:7" x14ac:dyDescent="0.2">
      <c r="B88" s="88"/>
      <c r="C88" s="90"/>
    </row>
    <row r="89" spans="2:7" x14ac:dyDescent="0.2">
      <c r="B89" s="89"/>
      <c r="C89" s="90"/>
    </row>
    <row r="90" spans="2:7" x14ac:dyDescent="0.2">
      <c r="B90" s="88"/>
      <c r="C90" s="90"/>
    </row>
  </sheetData>
  <sheetProtection algorithmName="SHA-512" hashValue="44+g4drmqhCMqunhCxbq2VQ6niYJog+L9H9RNaU2UGFUgq4yl0yZ/Vhs1Ua+gOXHVSoLhfISkRcR0/SCOMRCbg==" saltValue="GubCzwTS5bZV8cJvHB6KOA==" spinCount="100000" sheet="1" objects="1" scenarios="1" selectLockedCells="1"/>
  <mergeCells count="9">
    <mergeCell ref="B1:F3"/>
    <mergeCell ref="H27:I27"/>
    <mergeCell ref="L27:M27"/>
    <mergeCell ref="Q27:R27"/>
    <mergeCell ref="B76:F76"/>
    <mergeCell ref="D6:F6"/>
    <mergeCell ref="F18:F19"/>
    <mergeCell ref="F20:F21"/>
    <mergeCell ref="D22:E22"/>
  </mergeCells>
  <phoneticPr fontId="0" type="noConversion"/>
  <dataValidations count="8">
    <dataValidation type="whole" allowBlank="1" showInputMessage="1" showErrorMessage="1" sqref="C12:C13">
      <formula1>2500</formula1>
      <formula2>8760</formula2>
    </dataValidation>
    <dataValidation type="decimal" allowBlank="1" showInputMessage="1" showErrorMessage="1" sqref="F10">
      <formula1>0.02</formula1>
      <formula2>0.5</formula2>
    </dataValidation>
    <dataValidation type="decimal" allowBlank="1" showInputMessage="1" showErrorMessage="1" sqref="F12">
      <formula1>0</formula1>
      <formula2>40</formula2>
    </dataValidation>
    <dataValidation type="decimal" allowBlank="1" showInputMessage="1" showErrorMessage="1" sqref="F14 F16">
      <formula1>2</formula1>
      <formula2>25</formula2>
    </dataValidation>
    <dataValidation type="whole" allowBlank="1" showInputMessage="1" showErrorMessage="1" sqref="C16">
      <formula1>0</formula1>
      <formula2>30</formula2>
    </dataValidation>
    <dataValidation type="whole" allowBlank="1" showInputMessage="1" showErrorMessage="1" sqref="C14">
      <formula1>1</formula1>
      <formula2>12</formula2>
    </dataValidation>
    <dataValidation type="list" allowBlank="1" showInputMessage="1" showErrorMessage="1" sqref="C20:C21">
      <formula1>"Y, N"</formula1>
    </dataValidation>
    <dataValidation type="list" allowBlank="1" showInputMessage="1" showErrorMessage="1" sqref="F20">
      <formula1>INDIRECT(SUBSTITUTE($F18," ","_"))</formula1>
    </dataValidation>
  </dataValidations>
  <hyperlinks>
    <hyperlink ref="D22" r:id="rId1" display="http://consortia.myescenter.com/CHP/e-GRID-sub-region-map-full_names.pdf"/>
  </hyperlinks>
  <pageMargins left="0.75" right="0.75" top="0.5" bottom="0.5" header="0.5" footer="0.5"/>
  <pageSetup scale="72" orientation="portrait" horizontalDpi="4294967293" r:id="rId2"/>
  <headerFooter alignWithMargins="0"/>
  <customProperties>
    <customPr name="SSCSheetTrackingNo" r:id="rId3"/>
  </customPropertie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'Carbon Calc 041118'!$CS$8:$CS$10</xm:f>
          </x14:formula1>
          <xm:sqref>F18:F19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D13" sqref="D13"/>
    </sheetView>
  </sheetViews>
  <sheetFormatPr defaultRowHeight="12.75" x14ac:dyDescent="0.2"/>
  <sheetData>
    <row r="1" spans="1:11" ht="18" customHeight="1" x14ac:dyDescent="0.25">
      <c r="A1" s="804" t="s">
        <v>44</v>
      </c>
      <c r="B1" s="804"/>
      <c r="C1" s="804"/>
      <c r="D1" s="804"/>
      <c r="E1" s="804"/>
      <c r="F1" s="804"/>
      <c r="G1" s="804"/>
      <c r="H1" s="804"/>
      <c r="I1" s="804"/>
      <c r="J1" s="804"/>
      <c r="K1" s="804"/>
    </row>
    <row r="3" spans="1:11" ht="38.25" customHeight="1" x14ac:dyDescent="0.2"/>
  </sheetData>
  <mergeCells count="1">
    <mergeCell ref="A1:K1"/>
  </mergeCells>
  <pageMargins left="0.7" right="0.7" top="0.75" bottom="0.75" header="0.3" footer="0.3"/>
  <pageSetup orientation="portrait" horizontalDpi="0" verticalDpi="0" r:id="rId1"/>
  <customProperties>
    <customPr name="SSCSheetTrackingNo"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81"/>
  <sheetViews>
    <sheetView topLeftCell="A7" zoomScale="110" zoomScaleNormal="110" workbookViewId="0">
      <selection activeCell="F83" sqref="F83"/>
    </sheetView>
  </sheetViews>
  <sheetFormatPr defaultRowHeight="12.75" x14ac:dyDescent="0.2"/>
  <cols>
    <col min="1" max="1" width="3.7109375" customWidth="1"/>
    <col min="2" max="2" width="10.7109375" customWidth="1"/>
    <col min="3" max="3" width="14.5703125" bestFit="1" customWidth="1"/>
    <col min="4" max="4" width="11.28515625" customWidth="1"/>
    <col min="5" max="5" width="11.42578125" customWidth="1"/>
    <col min="6" max="6" width="12.42578125" customWidth="1"/>
    <col min="7" max="7" width="10" customWidth="1"/>
    <col min="8" max="8" width="9.7109375" customWidth="1"/>
    <col min="9" max="9" width="9.140625" customWidth="1"/>
    <col min="10" max="10" width="8.28515625" customWidth="1"/>
    <col min="14" max="14" width="10.5703125" bestFit="1" customWidth="1"/>
    <col min="16" max="17" width="10.5703125" bestFit="1" customWidth="1"/>
  </cols>
  <sheetData>
    <row r="2" spans="2:19" ht="18" x14ac:dyDescent="0.25">
      <c r="B2" s="49" t="s">
        <v>2</v>
      </c>
      <c r="D2" t="s">
        <v>529</v>
      </c>
    </row>
    <row r="3" spans="2:19" ht="8.25" customHeight="1" thickBot="1" x14ac:dyDescent="0.3">
      <c r="B3" s="49"/>
    </row>
    <row r="4" spans="2:19" ht="13.5" thickBot="1" x14ac:dyDescent="0.25">
      <c r="B4" s="83" t="s">
        <v>9</v>
      </c>
      <c r="C4" s="34"/>
      <c r="D4" s="34"/>
      <c r="E4" s="85">
        <v>905</v>
      </c>
      <c r="F4" s="84" t="s">
        <v>10</v>
      </c>
      <c r="G4" s="34"/>
      <c r="H4" s="34"/>
      <c r="I4" s="85">
        <v>1030</v>
      </c>
    </row>
    <row r="5" spans="2:19" ht="13.5" thickBot="1" x14ac:dyDescent="0.25">
      <c r="B5" s="37"/>
      <c r="C5" s="4"/>
      <c r="D5" s="4"/>
      <c r="E5" s="4"/>
      <c r="F5" s="37"/>
      <c r="G5" s="4"/>
      <c r="H5" s="4"/>
      <c r="I5" s="4"/>
    </row>
    <row r="6" spans="2:19" ht="13.5" thickBot="1" x14ac:dyDescent="0.25">
      <c r="B6" s="92" t="s">
        <v>120</v>
      </c>
      <c r="C6" s="93"/>
      <c r="D6" s="93"/>
      <c r="E6" s="117" t="e">
        <f>VLOOKUP(B103,B106:C167,2)</f>
        <v>#N/A</v>
      </c>
      <c r="F6" s="95"/>
      <c r="G6" s="93"/>
      <c r="H6" s="94" t="s">
        <v>53</v>
      </c>
      <c r="I6" s="111">
        <v>119.741</v>
      </c>
      <c r="K6" s="109"/>
      <c r="L6" s="118"/>
      <c r="M6" s="109"/>
      <c r="N6" s="109"/>
      <c r="O6" s="109"/>
      <c r="P6" s="109"/>
    </row>
    <row r="7" spans="2:19" x14ac:dyDescent="0.2">
      <c r="B7" s="108" t="s">
        <v>57</v>
      </c>
      <c r="C7" s="4"/>
      <c r="D7" s="4"/>
      <c r="E7" s="4"/>
      <c r="F7" s="37"/>
      <c r="G7" s="4"/>
      <c r="H7" s="4"/>
      <c r="I7" s="4"/>
      <c r="K7" s="119"/>
      <c r="L7" s="109"/>
      <c r="M7" s="109"/>
      <c r="N7" s="109"/>
      <c r="O7" s="109"/>
      <c r="P7" s="109"/>
    </row>
    <row r="8" spans="2:19" x14ac:dyDescent="0.2">
      <c r="B8" s="108"/>
      <c r="C8" s="4"/>
      <c r="D8" s="4"/>
      <c r="E8" s="4"/>
      <c r="F8" s="37"/>
      <c r="G8" s="4"/>
      <c r="H8" s="4"/>
      <c r="I8" s="4"/>
      <c r="K8" s="119"/>
      <c r="L8" s="109"/>
      <c r="M8" s="109"/>
      <c r="N8" s="109"/>
      <c r="O8" s="109"/>
      <c r="P8" s="109"/>
    </row>
    <row r="9" spans="2:19" ht="15.75" x14ac:dyDescent="0.25">
      <c r="B9" s="120" t="s">
        <v>30</v>
      </c>
      <c r="L9" s="110" t="s">
        <v>152</v>
      </c>
    </row>
    <row r="10" spans="2:19" ht="13.5" thickBot="1" x14ac:dyDescent="0.25">
      <c r="B10" s="1" t="s">
        <v>153</v>
      </c>
      <c r="L10" s="1" t="s">
        <v>159</v>
      </c>
    </row>
    <row r="11" spans="2:19" x14ac:dyDescent="0.2">
      <c r="B11" s="179" t="s">
        <v>14</v>
      </c>
      <c r="C11" s="137"/>
      <c r="D11" s="137"/>
      <c r="E11" s="180">
        <v>3304</v>
      </c>
      <c r="F11" s="180">
        <v>7038</v>
      </c>
      <c r="G11" s="180">
        <v>9950</v>
      </c>
      <c r="H11" s="180">
        <v>20336</v>
      </c>
      <c r="I11" s="181">
        <v>44488</v>
      </c>
      <c r="J11" s="190" t="s">
        <v>155</v>
      </c>
      <c r="L11" s="2" t="s">
        <v>14</v>
      </c>
      <c r="M11" s="29"/>
      <c r="N11" s="29"/>
      <c r="O11" s="50">
        <v>1150</v>
      </c>
      <c r="P11" s="50">
        <v>5457</v>
      </c>
      <c r="Q11" s="50">
        <v>10239</v>
      </c>
      <c r="R11" s="50">
        <v>25000</v>
      </c>
      <c r="S11" s="51">
        <v>40000</v>
      </c>
    </row>
    <row r="12" spans="2:19" x14ac:dyDescent="0.2">
      <c r="B12" s="182" t="s">
        <v>154</v>
      </c>
      <c r="C12" s="183"/>
      <c r="D12" s="183"/>
      <c r="E12" s="184">
        <v>3281</v>
      </c>
      <c r="F12" s="184">
        <v>2080</v>
      </c>
      <c r="G12" s="184">
        <v>1976</v>
      </c>
      <c r="H12" s="184">
        <v>1518</v>
      </c>
      <c r="I12" s="139">
        <v>1248</v>
      </c>
      <c r="J12" s="190" t="s">
        <v>155</v>
      </c>
      <c r="L12" s="19" t="s">
        <v>42</v>
      </c>
      <c r="M12" s="4"/>
      <c r="N12" s="4"/>
      <c r="O12" s="67">
        <v>3324</v>
      </c>
      <c r="P12" s="67">
        <v>1314</v>
      </c>
      <c r="Q12" s="67">
        <v>1298</v>
      </c>
      <c r="R12" s="67">
        <v>1097</v>
      </c>
      <c r="S12" s="52">
        <v>972</v>
      </c>
    </row>
    <row r="13" spans="2:19" x14ac:dyDescent="0.2">
      <c r="B13" s="182" t="s">
        <v>15</v>
      </c>
      <c r="C13" s="183"/>
      <c r="D13" s="183"/>
      <c r="E13" s="185">
        <v>0.23949999999999999</v>
      </c>
      <c r="F13" s="185">
        <v>0.28899999999999998</v>
      </c>
      <c r="G13" s="185">
        <v>0.27339999999999998</v>
      </c>
      <c r="H13" s="185">
        <v>0.33239999999999997</v>
      </c>
      <c r="I13" s="186">
        <v>0.35959999999999998</v>
      </c>
      <c r="J13" s="190" t="s">
        <v>155</v>
      </c>
      <c r="L13" s="3" t="s">
        <v>15</v>
      </c>
      <c r="M13" s="4"/>
      <c r="N13" s="4"/>
      <c r="O13" s="46">
        <v>0.2127</v>
      </c>
      <c r="P13" s="46">
        <v>0.2772</v>
      </c>
      <c r="Q13" s="46">
        <v>0.28439999999999999</v>
      </c>
      <c r="R13" s="46">
        <v>0.34300000000000003</v>
      </c>
      <c r="S13" s="53">
        <v>0.37</v>
      </c>
    </row>
    <row r="14" spans="2:19" x14ac:dyDescent="0.2">
      <c r="B14" s="43" t="s">
        <v>25</v>
      </c>
      <c r="C14" s="4"/>
      <c r="D14" s="4"/>
      <c r="E14" s="42">
        <f>+E18-E13</f>
        <v>0.41750000000000004</v>
      </c>
      <c r="F14" s="42">
        <f t="shared" ref="F14:I14" si="0">+F18-F13</f>
        <v>0.41499999999999998</v>
      </c>
      <c r="G14" s="42">
        <f t="shared" si="0"/>
        <v>0.42159999999999997</v>
      </c>
      <c r="H14" s="42">
        <f t="shared" si="0"/>
        <v>0.37259999999999999</v>
      </c>
      <c r="I14" s="44">
        <f t="shared" si="0"/>
        <v>0.32839999999999997</v>
      </c>
      <c r="J14" s="190"/>
      <c r="L14" s="43" t="s">
        <v>25</v>
      </c>
      <c r="M14" s="4"/>
      <c r="N14" s="4"/>
      <c r="O14" s="42">
        <f>+O18-O13</f>
        <v>0.45030000000000003</v>
      </c>
      <c r="P14" s="42">
        <f t="shared" ref="P14:S14" si="1">+P18-P13</f>
        <v>0.42079999999999995</v>
      </c>
      <c r="Q14" s="42">
        <f t="shared" si="1"/>
        <v>0.39960000000000007</v>
      </c>
      <c r="R14" s="42">
        <f t="shared" si="1"/>
        <v>0.36399999999999993</v>
      </c>
      <c r="S14" s="44">
        <f t="shared" si="1"/>
        <v>0.35099999999999998</v>
      </c>
    </row>
    <row r="15" spans="2:19" x14ac:dyDescent="0.2">
      <c r="B15" s="39" t="s">
        <v>49</v>
      </c>
      <c r="C15" s="38"/>
      <c r="D15" s="38"/>
      <c r="E15" s="38">
        <f>+E17/E11</f>
        <v>1.425544794188862E-2</v>
      </c>
      <c r="F15" s="38">
        <f>+F17/F11</f>
        <v>1.1807331628303495E-2</v>
      </c>
      <c r="G15" s="38">
        <f>+G17/G11</f>
        <v>1.2482412060301509E-2</v>
      </c>
      <c r="H15" s="38">
        <f>+H17/H11</f>
        <v>1.0262588512981903E-2</v>
      </c>
      <c r="I15" s="40">
        <f>+I17/I11</f>
        <v>9.4879518072289153E-3</v>
      </c>
      <c r="J15" s="190"/>
      <c r="L15" s="39" t="s">
        <v>49</v>
      </c>
      <c r="M15" s="38"/>
      <c r="N15" s="38"/>
      <c r="O15" s="38">
        <f>+O17/O11</f>
        <v>1.6086956521739131E-2</v>
      </c>
      <c r="P15" s="38">
        <f>+P17/P11</f>
        <v>1.2314458493677845E-2</v>
      </c>
      <c r="Q15" s="38">
        <f>+Q17/Q11</f>
        <v>1.2003125305205586E-2</v>
      </c>
      <c r="R15" s="38">
        <f>+R17/R11</f>
        <v>9.9439999999999997E-3</v>
      </c>
      <c r="S15" s="40">
        <f>+S17/S11</f>
        <v>9.2200000000000008E-3</v>
      </c>
    </row>
    <row r="16" spans="2:19" x14ac:dyDescent="0.2">
      <c r="B16" s="3" t="s">
        <v>26</v>
      </c>
      <c r="C16" s="4"/>
      <c r="D16" s="4"/>
      <c r="E16" s="37">
        <v>1.26E-2</v>
      </c>
      <c r="F16" s="37">
        <v>1.23E-2</v>
      </c>
      <c r="G16" s="37">
        <v>1.2E-2</v>
      </c>
      <c r="H16" s="37">
        <v>9.2999999999999992E-3</v>
      </c>
      <c r="I16" s="54">
        <v>9.1999999999999998E-3</v>
      </c>
      <c r="J16" s="190" t="s">
        <v>156</v>
      </c>
      <c r="L16" s="3" t="s">
        <v>26</v>
      </c>
      <c r="M16" s="4"/>
      <c r="N16" s="4"/>
      <c r="O16" s="37">
        <v>1.11E-2</v>
      </c>
      <c r="P16" s="37">
        <v>7.4000000000000003E-3</v>
      </c>
      <c r="Q16" s="37">
        <v>7.0000000000000001E-3</v>
      </c>
      <c r="R16" s="37">
        <v>4.8999999999999998E-3</v>
      </c>
      <c r="S16" s="54">
        <v>4.1999999999999997E-3</v>
      </c>
    </row>
    <row r="17" spans="2:25" x14ac:dyDescent="0.2">
      <c r="B17" s="3" t="s">
        <v>16</v>
      </c>
      <c r="C17" s="4"/>
      <c r="D17" s="4"/>
      <c r="E17" s="183">
        <v>47.1</v>
      </c>
      <c r="F17" s="183">
        <v>83.1</v>
      </c>
      <c r="G17" s="183">
        <v>124.2</v>
      </c>
      <c r="H17" s="183">
        <v>208.7</v>
      </c>
      <c r="I17" s="187">
        <v>422.1</v>
      </c>
      <c r="J17" s="190" t="s">
        <v>155</v>
      </c>
      <c r="L17" s="3" t="s">
        <v>16</v>
      </c>
      <c r="M17" s="4"/>
      <c r="N17" s="4"/>
      <c r="O17" s="37">
        <v>18.5</v>
      </c>
      <c r="P17" s="37">
        <v>67.2</v>
      </c>
      <c r="Q17" s="37">
        <v>122.9</v>
      </c>
      <c r="R17" s="37">
        <v>248.6</v>
      </c>
      <c r="S17" s="54">
        <v>368.8</v>
      </c>
    </row>
    <row r="18" spans="2:25" ht="13.5" thickBot="1" x14ac:dyDescent="0.25">
      <c r="B18" s="41" t="s">
        <v>23</v>
      </c>
      <c r="C18" s="36"/>
      <c r="D18" s="36"/>
      <c r="E18" s="188">
        <v>0.65700000000000003</v>
      </c>
      <c r="F18" s="188">
        <v>0.70399999999999996</v>
      </c>
      <c r="G18" s="188">
        <v>0.69499999999999995</v>
      </c>
      <c r="H18" s="188">
        <v>0.70499999999999996</v>
      </c>
      <c r="I18" s="189">
        <v>0.68799999999999994</v>
      </c>
      <c r="J18" s="190" t="s">
        <v>155</v>
      </c>
      <c r="K18" s="249"/>
      <c r="L18" s="41" t="s">
        <v>23</v>
      </c>
      <c r="M18" s="36"/>
      <c r="N18" s="36"/>
      <c r="O18" s="73">
        <v>0.66300000000000003</v>
      </c>
      <c r="P18" s="73">
        <v>0.69799999999999995</v>
      </c>
      <c r="Q18" s="73">
        <v>0.68400000000000005</v>
      </c>
      <c r="R18" s="73">
        <v>0.70699999999999996</v>
      </c>
      <c r="S18" s="74">
        <v>0.72099999999999997</v>
      </c>
    </row>
    <row r="19" spans="2:25" ht="15" x14ac:dyDescent="0.25">
      <c r="B19" s="131"/>
      <c r="L19" s="131" t="s">
        <v>122</v>
      </c>
    </row>
    <row r="20" spans="2:25" ht="13.5" thickBot="1" x14ac:dyDescent="0.25">
      <c r="B20" s="1" t="s">
        <v>169</v>
      </c>
      <c r="L20" s="1" t="s">
        <v>160</v>
      </c>
    </row>
    <row r="21" spans="2:25" x14ac:dyDescent="0.2">
      <c r="B21" s="179" t="s">
        <v>158</v>
      </c>
      <c r="C21" s="29"/>
      <c r="D21" s="29"/>
      <c r="E21" s="191">
        <v>28</v>
      </c>
      <c r="F21" s="191">
        <v>61</v>
      </c>
      <c r="G21" s="191">
        <v>190</v>
      </c>
      <c r="H21" s="191">
        <v>240</v>
      </c>
      <c r="I21" s="203">
        <v>320</v>
      </c>
      <c r="J21" s="204">
        <v>950</v>
      </c>
      <c r="K21" s="190" t="s">
        <v>157</v>
      </c>
      <c r="L21" s="2" t="s">
        <v>18</v>
      </c>
      <c r="M21" s="29"/>
      <c r="N21" s="29"/>
      <c r="O21" s="61">
        <v>30</v>
      </c>
      <c r="P21" s="61">
        <v>65</v>
      </c>
      <c r="Q21" s="68">
        <v>250</v>
      </c>
    </row>
    <row r="22" spans="2:25" x14ac:dyDescent="0.2">
      <c r="B22" s="19" t="s">
        <v>17</v>
      </c>
      <c r="C22" s="4"/>
      <c r="D22" s="4"/>
      <c r="E22" s="184">
        <v>4300</v>
      </c>
      <c r="F22" s="184">
        <v>3220</v>
      </c>
      <c r="G22" s="184">
        <v>3150</v>
      </c>
      <c r="H22" s="184">
        <v>2720</v>
      </c>
      <c r="I22" s="197">
        <v>2580</v>
      </c>
      <c r="J22" s="205">
        <v>2500</v>
      </c>
      <c r="K22" s="190" t="s">
        <v>157</v>
      </c>
      <c r="L22" s="19" t="s">
        <v>17</v>
      </c>
      <c r="M22" s="4"/>
      <c r="N22" s="4"/>
      <c r="O22" s="67">
        <v>2970</v>
      </c>
      <c r="P22" s="67">
        <v>2490</v>
      </c>
      <c r="Q22" s="52">
        <v>2440</v>
      </c>
    </row>
    <row r="23" spans="2:25" x14ac:dyDescent="0.2">
      <c r="B23" s="19" t="s">
        <v>15</v>
      </c>
      <c r="C23" s="4"/>
      <c r="D23" s="4"/>
      <c r="E23" s="194">
        <v>0.219</v>
      </c>
      <c r="F23" s="194">
        <v>0.23699999999999999</v>
      </c>
      <c r="G23" s="194">
        <v>0.26600000000000001</v>
      </c>
      <c r="H23" s="194">
        <v>0.26</v>
      </c>
      <c r="I23" s="195">
        <v>0.28000000000000003</v>
      </c>
      <c r="J23" s="206">
        <v>0.26600000000000001</v>
      </c>
      <c r="K23" s="190" t="s">
        <v>157</v>
      </c>
      <c r="L23" s="19" t="s">
        <v>15</v>
      </c>
      <c r="M23" s="4"/>
      <c r="N23" s="4"/>
      <c r="O23" s="46">
        <v>0.22600000000000001</v>
      </c>
      <c r="P23" s="46">
        <v>0.246</v>
      </c>
      <c r="Q23" s="53">
        <v>0.26090000000000002</v>
      </c>
    </row>
    <row r="24" spans="2:25" x14ac:dyDescent="0.2">
      <c r="B24" s="43" t="s">
        <v>25</v>
      </c>
      <c r="C24" s="4"/>
      <c r="D24" s="4"/>
      <c r="E24" s="42">
        <f>+E29-E23</f>
        <v>0.48099999999999998</v>
      </c>
      <c r="F24" s="42">
        <f t="shared" ref="F24:J24" si="2">+F29-F23</f>
        <v>0.46699999999999997</v>
      </c>
      <c r="G24" s="42">
        <f t="shared" si="2"/>
        <v>0.36399999999999999</v>
      </c>
      <c r="H24" s="42">
        <f t="shared" si="2"/>
        <v>0.40900000000000003</v>
      </c>
      <c r="I24" s="42">
        <f t="shared" si="2"/>
        <v>0.39500000000000002</v>
      </c>
      <c r="J24" s="44">
        <f t="shared" si="2"/>
        <v>0.36499999999999999</v>
      </c>
      <c r="L24" s="43" t="s">
        <v>25</v>
      </c>
      <c r="M24" s="4"/>
      <c r="N24" s="4"/>
      <c r="O24" s="42">
        <f>+O29-O23</f>
        <v>0.41200000000000003</v>
      </c>
      <c r="P24" s="42">
        <f t="shared" ref="P24:Q24" si="3">+P29-P23</f>
        <v>0.46599999999999997</v>
      </c>
      <c r="Q24" s="44">
        <f t="shared" si="3"/>
        <v>0.37909999999999999</v>
      </c>
    </row>
    <row r="25" spans="2:25" x14ac:dyDescent="0.2">
      <c r="B25" s="39" t="s">
        <v>49</v>
      </c>
      <c r="C25" s="4"/>
      <c r="D25" s="4"/>
      <c r="E25" s="59">
        <f>+E28/E21</f>
        <v>1.55E-2</v>
      </c>
      <c r="F25" s="59">
        <f t="shared" ref="F25:J25" si="4">+F28/F21</f>
        <v>1.4360655737704918E-2</v>
      </c>
      <c r="G25" s="59">
        <f t="shared" si="4"/>
        <v>1.2794736842105263E-2</v>
      </c>
      <c r="H25" s="59">
        <f t="shared" si="4"/>
        <v>1.3079166666666666E-2</v>
      </c>
      <c r="I25" s="59">
        <f t="shared" si="4"/>
        <v>1.2168750000000001E-2</v>
      </c>
      <c r="J25" s="60">
        <f t="shared" si="4"/>
        <v>1.2794736842105263E-2</v>
      </c>
      <c r="L25" s="39" t="s">
        <v>49</v>
      </c>
      <c r="M25" s="4"/>
      <c r="N25" s="4"/>
      <c r="O25" s="59">
        <f>+O28/O21</f>
        <v>1.4066666666666667E-2</v>
      </c>
      <c r="P25" s="59">
        <f>+P28/P21</f>
        <v>1.3461538461538462E-2</v>
      </c>
      <c r="Q25" s="60">
        <f>+Q28/Q21</f>
        <v>1.2659999999999999E-2</v>
      </c>
    </row>
    <row r="26" spans="2:25" x14ac:dyDescent="0.2">
      <c r="B26" s="198" t="s">
        <v>26</v>
      </c>
      <c r="C26" s="192"/>
      <c r="D26" s="192"/>
      <c r="E26" s="201">
        <v>1.6E-2</v>
      </c>
      <c r="F26" s="199">
        <v>1.2999999999999999E-2</v>
      </c>
      <c r="G26" s="199">
        <v>1.6E-2</v>
      </c>
      <c r="H26" s="199">
        <v>1.0999999999999999E-2</v>
      </c>
      <c r="I26" s="200">
        <v>8.9999999999999993E-3</v>
      </c>
      <c r="J26" s="207">
        <v>1.2E-2</v>
      </c>
      <c r="K26" s="190" t="s">
        <v>165</v>
      </c>
      <c r="L26" s="39" t="s">
        <v>26</v>
      </c>
      <c r="M26" s="4"/>
      <c r="N26" s="4"/>
      <c r="O26" s="71">
        <f>(0.015+0.025)/2</f>
        <v>0.02</v>
      </c>
      <c r="P26" s="70">
        <f>(0.013+0.022)/2</f>
        <v>1.7499999999999998E-2</v>
      </c>
      <c r="Q26" s="79">
        <f>(0.012+0.02)/2</f>
        <v>1.6E-2</v>
      </c>
    </row>
    <row r="27" spans="2:25" x14ac:dyDescent="0.2">
      <c r="B27" s="19" t="s">
        <v>37</v>
      </c>
      <c r="C27" s="4"/>
      <c r="D27" s="37" t="s">
        <v>164</v>
      </c>
      <c r="E27" s="69"/>
      <c r="F27" s="69"/>
      <c r="G27" s="69"/>
      <c r="H27" s="65"/>
      <c r="I27" s="4"/>
      <c r="J27" s="208"/>
      <c r="L27" s="19" t="s">
        <v>37</v>
      </c>
      <c r="M27" s="4"/>
      <c r="N27" s="4"/>
      <c r="O27" s="69" t="s">
        <v>38</v>
      </c>
      <c r="P27" s="69" t="s">
        <v>39</v>
      </c>
      <c r="Q27" s="80" t="s">
        <v>40</v>
      </c>
    </row>
    <row r="28" spans="2:25" x14ac:dyDescent="0.2">
      <c r="B28" s="3" t="s">
        <v>16</v>
      </c>
      <c r="C28" s="4"/>
      <c r="D28" s="4"/>
      <c r="E28" s="192">
        <v>0.434</v>
      </c>
      <c r="F28" s="192">
        <v>0.876</v>
      </c>
      <c r="G28" s="192">
        <v>2.431</v>
      </c>
      <c r="H28" s="192">
        <v>3.1389999999999998</v>
      </c>
      <c r="I28" s="193">
        <v>3.8940000000000001</v>
      </c>
      <c r="J28" s="209">
        <v>12.154999999999999</v>
      </c>
      <c r="K28" s="190" t="s">
        <v>157</v>
      </c>
      <c r="L28" s="3" t="s">
        <v>16</v>
      </c>
      <c r="M28" s="4"/>
      <c r="N28" s="4"/>
      <c r="O28" s="37">
        <v>0.42199999999999999</v>
      </c>
      <c r="P28" s="37">
        <v>0.875</v>
      </c>
      <c r="Q28" s="54">
        <v>3.165</v>
      </c>
    </row>
    <row r="29" spans="2:25" ht="13.5" thickBot="1" x14ac:dyDescent="0.25">
      <c r="B29" s="41" t="s">
        <v>23</v>
      </c>
      <c r="C29" s="30"/>
      <c r="D29" s="30"/>
      <c r="E29" s="196">
        <v>0.7</v>
      </c>
      <c r="F29" s="196">
        <v>0.70399999999999996</v>
      </c>
      <c r="G29" s="196">
        <v>0.63</v>
      </c>
      <c r="H29" s="210">
        <v>0.66900000000000004</v>
      </c>
      <c r="I29" s="211">
        <v>0.67500000000000004</v>
      </c>
      <c r="J29" s="212">
        <v>0.63100000000000001</v>
      </c>
      <c r="K29" s="190" t="s">
        <v>157</v>
      </c>
      <c r="L29" s="41" t="s">
        <v>23</v>
      </c>
      <c r="M29" s="30"/>
      <c r="N29" s="30"/>
      <c r="O29" s="73">
        <v>0.63800000000000001</v>
      </c>
      <c r="P29" s="73">
        <v>0.71199999999999997</v>
      </c>
      <c r="Q29" s="74">
        <v>0.64</v>
      </c>
    </row>
    <row r="30" spans="2:25" x14ac:dyDescent="0.2">
      <c r="B30" s="213" t="s">
        <v>184</v>
      </c>
      <c r="K30" s="4"/>
      <c r="L30" s="202" t="s">
        <v>124</v>
      </c>
      <c r="M30" s="4"/>
      <c r="N30" s="4"/>
      <c r="O30" s="4"/>
      <c r="P30" s="4"/>
      <c r="Q30" s="4"/>
      <c r="R30" s="4"/>
      <c r="S30" s="4"/>
      <c r="T30" s="4"/>
      <c r="U30" s="4"/>
      <c r="V30" s="4"/>
      <c r="W30" s="4"/>
    </row>
    <row r="31" spans="2:25" ht="13.5" thickBot="1" x14ac:dyDescent="0.25">
      <c r="B31" s="1" t="s">
        <v>170</v>
      </c>
      <c r="D31" s="136"/>
      <c r="K31" s="37"/>
      <c r="L31" s="1" t="s">
        <v>168</v>
      </c>
      <c r="N31" s="136"/>
      <c r="T31" s="4"/>
      <c r="U31" s="4"/>
      <c r="V31" s="4"/>
      <c r="W31" s="4"/>
      <c r="X31" s="4"/>
      <c r="Y31" s="4"/>
    </row>
    <row r="32" spans="2:25" x14ac:dyDescent="0.2">
      <c r="B32" s="140" t="s">
        <v>135</v>
      </c>
      <c r="C32" s="29"/>
      <c r="D32" s="29"/>
      <c r="E32" s="137">
        <v>100</v>
      </c>
      <c r="F32" s="137">
        <v>633</v>
      </c>
      <c r="G32" s="137">
        <v>1121</v>
      </c>
      <c r="H32" s="180">
        <v>3326</v>
      </c>
      <c r="I32" s="181">
        <v>9341</v>
      </c>
      <c r="J32" s="190" t="s">
        <v>171</v>
      </c>
      <c r="K32" s="4"/>
      <c r="L32" s="140" t="s">
        <v>135</v>
      </c>
      <c r="M32" s="29"/>
      <c r="N32" s="29"/>
      <c r="O32" s="61">
        <v>100</v>
      </c>
      <c r="P32" s="137">
        <v>500</v>
      </c>
      <c r="Q32" s="137">
        <v>1000</v>
      </c>
      <c r="R32" s="50">
        <v>3000</v>
      </c>
      <c r="S32" s="51">
        <v>5000</v>
      </c>
      <c r="T32" s="37"/>
      <c r="U32" s="37"/>
      <c r="V32" s="37"/>
      <c r="W32" s="45"/>
      <c r="X32" s="45"/>
      <c r="Y32" s="4"/>
    </row>
    <row r="33" spans="2:25" x14ac:dyDescent="0.2">
      <c r="B33" s="19" t="s">
        <v>136</v>
      </c>
      <c r="C33" s="4"/>
      <c r="D33" s="4"/>
      <c r="E33" s="138">
        <v>2900</v>
      </c>
      <c r="F33" s="138">
        <v>2837</v>
      </c>
      <c r="G33" s="138">
        <v>2366</v>
      </c>
      <c r="H33" s="138">
        <v>1801</v>
      </c>
      <c r="I33" s="139">
        <v>1433</v>
      </c>
      <c r="J33" s="190" t="s">
        <v>171</v>
      </c>
      <c r="K33" s="37"/>
      <c r="L33" s="19" t="s">
        <v>136</v>
      </c>
      <c r="M33" s="4"/>
      <c r="N33" s="4"/>
      <c r="O33" s="138">
        <v>3000</v>
      </c>
      <c r="P33" s="138">
        <v>2600</v>
      </c>
      <c r="Q33" s="138">
        <v>2000</v>
      </c>
      <c r="R33" s="138">
        <v>1450</v>
      </c>
      <c r="S33" s="139">
        <v>1250</v>
      </c>
      <c r="T33" s="45"/>
      <c r="U33" s="45"/>
      <c r="V33" s="45"/>
      <c r="W33" s="45"/>
      <c r="X33" s="67"/>
      <c r="Y33" s="4"/>
    </row>
    <row r="34" spans="2:25" x14ac:dyDescent="0.2">
      <c r="B34" s="19" t="s">
        <v>15</v>
      </c>
      <c r="C34" s="4"/>
      <c r="D34" s="4"/>
      <c r="E34" s="185">
        <v>0.27</v>
      </c>
      <c r="F34" s="185">
        <v>0.34499999999999997</v>
      </c>
      <c r="G34" s="185">
        <v>0.36799999999999999</v>
      </c>
      <c r="H34" s="185">
        <v>0.40400000000000003</v>
      </c>
      <c r="I34" s="186">
        <v>0.41599999999999998</v>
      </c>
      <c r="J34" s="190" t="s">
        <v>171</v>
      </c>
      <c r="K34" s="37"/>
      <c r="L34" s="19" t="s">
        <v>15</v>
      </c>
      <c r="M34" s="4"/>
      <c r="N34" s="4"/>
      <c r="O34" s="46">
        <v>0.28399999999999997</v>
      </c>
      <c r="P34" s="46">
        <v>0.34599999999999997</v>
      </c>
      <c r="Q34" s="46">
        <v>0.35</v>
      </c>
      <c r="R34" s="46">
        <v>0.36</v>
      </c>
      <c r="S34" s="53">
        <v>0.39</v>
      </c>
      <c r="T34" s="4"/>
      <c r="U34" s="4"/>
      <c r="V34" s="4"/>
      <c r="W34" s="4"/>
      <c r="X34" s="4"/>
      <c r="Y34" s="4"/>
    </row>
    <row r="35" spans="2:25" x14ac:dyDescent="0.2">
      <c r="B35" s="43" t="s">
        <v>25</v>
      </c>
      <c r="C35" s="4"/>
      <c r="D35" s="4"/>
      <c r="E35" s="42">
        <f>+E39-E34</f>
        <v>0.53</v>
      </c>
      <c r="F35" s="42">
        <f>+F39-F34</f>
        <v>0.44400000000000006</v>
      </c>
      <c r="G35" s="42">
        <f>+G39-G34</f>
        <v>0.41600000000000004</v>
      </c>
      <c r="H35" s="42">
        <f>+H39-H34</f>
        <v>0.379</v>
      </c>
      <c r="I35" s="44">
        <f>+I39-I34</f>
        <v>0.34900000000000003</v>
      </c>
      <c r="K35" s="141"/>
      <c r="L35" s="43" t="s">
        <v>25</v>
      </c>
      <c r="M35" s="4"/>
      <c r="N35" s="4"/>
      <c r="O35" s="42">
        <f>+O39-O34</f>
        <v>0.50600000000000001</v>
      </c>
      <c r="P35" s="42">
        <f>+P39-P34</f>
        <v>0.43400000000000005</v>
      </c>
      <c r="Q35" s="42">
        <f>+Q39-Q34</f>
        <v>0.44000000000000006</v>
      </c>
      <c r="R35" s="42">
        <f>+R39-R34</f>
        <v>0.37</v>
      </c>
      <c r="S35" s="44">
        <f>+S39-S34</f>
        <v>0.35</v>
      </c>
      <c r="T35" s="4"/>
      <c r="U35" s="4"/>
      <c r="V35" s="4"/>
      <c r="W35" s="4"/>
    </row>
    <row r="36" spans="2:25" x14ac:dyDescent="0.2">
      <c r="B36" s="39" t="s">
        <v>49</v>
      </c>
      <c r="C36" s="4"/>
      <c r="D36" s="4"/>
      <c r="E36" s="38">
        <f>+E38/E32</f>
        <v>1.26E-2</v>
      </c>
      <c r="F36" s="38">
        <f>+F38/F32</f>
        <v>9.889415481832543E-3</v>
      </c>
      <c r="G36" s="38">
        <f>+G38/G32</f>
        <v>9.2595896520963426E-3</v>
      </c>
      <c r="H36" s="38">
        <f>+H38/H32</f>
        <v>8.4546001202645826E-3</v>
      </c>
      <c r="I36" s="40">
        <f>+I38/I32</f>
        <v>8.2068301038432708E-3</v>
      </c>
      <c r="K36" s="38"/>
      <c r="L36" s="39" t="s">
        <v>49</v>
      </c>
      <c r="M36" s="4"/>
      <c r="N36" s="4"/>
      <c r="O36" s="38">
        <f>+O38/O32</f>
        <v>1.2E-2</v>
      </c>
      <c r="P36" s="38">
        <f>+P38/P32</f>
        <v>9.859999999999999E-3</v>
      </c>
      <c r="Q36" s="38">
        <f>+Q38/Q32</f>
        <v>9.7599999999999996E-3</v>
      </c>
      <c r="R36" s="38">
        <f>+R38/R32</f>
        <v>9.4933333333333328E-3</v>
      </c>
      <c r="S36" s="40">
        <f>+S38/S32</f>
        <v>8.7580000000000002E-3</v>
      </c>
      <c r="T36" s="4"/>
      <c r="U36" s="4"/>
      <c r="V36" s="4"/>
      <c r="W36" s="4"/>
    </row>
    <row r="37" spans="2:25" x14ac:dyDescent="0.2">
      <c r="B37" s="3" t="s">
        <v>26</v>
      </c>
      <c r="C37" s="4"/>
      <c r="D37" s="4"/>
      <c r="E37" s="76">
        <f>+(0.023+0.025)/2</f>
        <v>2.4E-2</v>
      </c>
      <c r="F37" s="183">
        <v>2.1000000000000001E-2</v>
      </c>
      <c r="G37" s="183">
        <v>1.9E-2</v>
      </c>
      <c r="H37" s="183">
        <v>1.6E-2</v>
      </c>
      <c r="I37" s="187">
        <v>8.5000000000000006E-3</v>
      </c>
      <c r="J37" s="190" t="s">
        <v>172</v>
      </c>
      <c r="K37" s="4"/>
      <c r="L37" s="3" t="s">
        <v>26</v>
      </c>
      <c r="M37" s="4"/>
      <c r="N37" s="4"/>
      <c r="O37" s="37">
        <v>2.1999999999999999E-2</v>
      </c>
      <c r="P37" s="37">
        <v>1.6E-2</v>
      </c>
      <c r="Q37" s="37">
        <v>1.2999999999999999E-2</v>
      </c>
      <c r="R37" s="37">
        <v>0.01</v>
      </c>
      <c r="S37" s="54">
        <v>8.9999999999999993E-3</v>
      </c>
      <c r="T37" s="4"/>
      <c r="U37" s="4"/>
      <c r="V37" s="4"/>
      <c r="W37" s="4"/>
    </row>
    <row r="38" spans="2:25" x14ac:dyDescent="0.2">
      <c r="B38" s="3" t="s">
        <v>16</v>
      </c>
      <c r="C38" s="4"/>
      <c r="D38" s="4"/>
      <c r="E38" s="183">
        <v>1.26</v>
      </c>
      <c r="F38" s="183">
        <v>6.26</v>
      </c>
      <c r="G38" s="183">
        <v>10.38</v>
      </c>
      <c r="H38" s="183">
        <v>28.12</v>
      </c>
      <c r="I38" s="187">
        <v>76.66</v>
      </c>
      <c r="J38" s="190" t="s">
        <v>171</v>
      </c>
      <c r="K38" s="4"/>
      <c r="L38" s="3" t="s">
        <v>16</v>
      </c>
      <c r="M38" s="4"/>
      <c r="N38" s="4"/>
      <c r="O38" s="37">
        <v>1.2</v>
      </c>
      <c r="P38" s="37">
        <v>4.93</v>
      </c>
      <c r="Q38" s="37">
        <v>9.76</v>
      </c>
      <c r="R38" s="37">
        <v>28.48</v>
      </c>
      <c r="S38" s="54">
        <v>43.79</v>
      </c>
      <c r="T38" s="4"/>
      <c r="U38" s="4"/>
      <c r="V38" s="4"/>
      <c r="W38" s="4"/>
    </row>
    <row r="39" spans="2:25" ht="13.5" thickBot="1" x14ac:dyDescent="0.25">
      <c r="B39" s="41" t="s">
        <v>24</v>
      </c>
      <c r="C39" s="30"/>
      <c r="D39" s="30"/>
      <c r="E39" s="188">
        <v>0.8</v>
      </c>
      <c r="F39" s="188">
        <v>0.78900000000000003</v>
      </c>
      <c r="G39" s="188">
        <v>0.78400000000000003</v>
      </c>
      <c r="H39" s="188">
        <v>0.78300000000000003</v>
      </c>
      <c r="I39" s="189">
        <v>0.76500000000000001</v>
      </c>
      <c r="J39" s="190" t="s">
        <v>171</v>
      </c>
      <c r="K39" s="37"/>
      <c r="L39" s="41" t="s">
        <v>24</v>
      </c>
      <c r="M39" s="30"/>
      <c r="N39" s="30"/>
      <c r="O39" s="55">
        <v>0.79</v>
      </c>
      <c r="P39" s="55">
        <v>0.78</v>
      </c>
      <c r="Q39" s="55">
        <v>0.79</v>
      </c>
      <c r="R39" s="55">
        <v>0.73</v>
      </c>
      <c r="S39" s="56">
        <v>0.74</v>
      </c>
      <c r="T39" s="4"/>
      <c r="U39" s="4"/>
      <c r="V39" s="4"/>
      <c r="W39" s="4"/>
    </row>
    <row r="40" spans="2:25" x14ac:dyDescent="0.2">
      <c r="B40" s="133" t="s">
        <v>173</v>
      </c>
      <c r="C40" s="4"/>
      <c r="D40" s="4"/>
      <c r="E40" s="75"/>
      <c r="F40" s="75"/>
      <c r="G40" s="75"/>
      <c r="H40" s="75"/>
      <c r="I40" s="75"/>
      <c r="K40" s="18"/>
      <c r="L40" s="132" t="s">
        <v>123</v>
      </c>
    </row>
    <row r="41" spans="2:25" x14ac:dyDescent="0.2">
      <c r="K41" s="18"/>
      <c r="L41" s="133" t="s">
        <v>127</v>
      </c>
    </row>
    <row r="42" spans="2:25" x14ac:dyDescent="0.2">
      <c r="K42" s="18"/>
    </row>
    <row r="43" spans="2:25" ht="13.5" thickBot="1" x14ac:dyDescent="0.25">
      <c r="B43" s="1" t="s">
        <v>181</v>
      </c>
      <c r="L43" s="1" t="s">
        <v>19</v>
      </c>
    </row>
    <row r="44" spans="2:25" x14ac:dyDescent="0.2">
      <c r="B44" s="2" t="s">
        <v>20</v>
      </c>
      <c r="C44" s="29"/>
      <c r="D44" s="29"/>
      <c r="E44" s="82" t="s">
        <v>175</v>
      </c>
      <c r="F44" s="82" t="s">
        <v>177</v>
      </c>
      <c r="G44" s="226" t="s">
        <v>178</v>
      </c>
      <c r="H44" s="226" t="s">
        <v>21</v>
      </c>
      <c r="I44" s="220" t="s">
        <v>178</v>
      </c>
      <c r="J44" s="48"/>
      <c r="L44" s="2" t="s">
        <v>20</v>
      </c>
      <c r="M44" s="29"/>
      <c r="N44" s="29"/>
      <c r="O44" s="82" t="s">
        <v>22</v>
      </c>
      <c r="P44" s="72" t="s">
        <v>21</v>
      </c>
    </row>
    <row r="45" spans="2:25" x14ac:dyDescent="0.2">
      <c r="B45" s="3" t="s">
        <v>18</v>
      </c>
      <c r="C45" s="4"/>
      <c r="D45" s="4"/>
      <c r="E45" s="183">
        <v>0.7</v>
      </c>
      <c r="F45" s="183">
        <v>1.5</v>
      </c>
      <c r="G45" s="192">
        <v>300</v>
      </c>
      <c r="H45" s="192">
        <v>400</v>
      </c>
      <c r="I45" s="221">
        <v>1400</v>
      </c>
      <c r="J45" s="48" t="s">
        <v>176</v>
      </c>
      <c r="L45" s="3" t="s">
        <v>18</v>
      </c>
      <c r="M45" s="4"/>
      <c r="N45" s="4"/>
      <c r="O45" s="37">
        <v>10</v>
      </c>
      <c r="P45" s="54">
        <v>200</v>
      </c>
    </row>
    <row r="46" spans="2:25" x14ac:dyDescent="0.2">
      <c r="B46" s="19" t="s">
        <v>180</v>
      </c>
      <c r="C46" s="4"/>
      <c r="D46" s="4"/>
      <c r="E46" s="218">
        <v>22000</v>
      </c>
      <c r="F46" s="218">
        <v>23000</v>
      </c>
      <c r="G46" s="219">
        <v>10000</v>
      </c>
      <c r="H46" s="219">
        <v>7000</v>
      </c>
      <c r="I46" s="222">
        <v>4600</v>
      </c>
      <c r="J46" s="47" t="s">
        <v>179</v>
      </c>
      <c r="L46" s="19" t="s">
        <v>17</v>
      </c>
      <c r="M46" s="4"/>
      <c r="N46" s="4"/>
      <c r="O46" s="45">
        <v>9100</v>
      </c>
      <c r="P46" s="77">
        <v>6310</v>
      </c>
    </row>
    <row r="47" spans="2:25" x14ac:dyDescent="0.2">
      <c r="B47" s="19" t="s">
        <v>31</v>
      </c>
      <c r="C47" s="4"/>
      <c r="D47" s="4"/>
      <c r="E47" s="214">
        <v>0.35299999999999998</v>
      </c>
      <c r="F47" s="214">
        <v>0.54400000000000004</v>
      </c>
      <c r="G47" s="217">
        <v>0.47</v>
      </c>
      <c r="H47" s="217">
        <v>0.34300000000000003</v>
      </c>
      <c r="I47" s="223">
        <v>0.42499999999999999</v>
      </c>
      <c r="J47" s="48" t="s">
        <v>176</v>
      </c>
      <c r="L47" s="19" t="s">
        <v>31</v>
      </c>
      <c r="M47" s="4"/>
      <c r="N47" s="4"/>
      <c r="O47" s="75">
        <v>0.3</v>
      </c>
      <c r="P47" s="78">
        <v>0.33</v>
      </c>
    </row>
    <row r="48" spans="2:25" x14ac:dyDescent="0.2">
      <c r="B48" s="43" t="s">
        <v>25</v>
      </c>
      <c r="C48" s="4"/>
      <c r="D48" s="4"/>
      <c r="E48" s="57">
        <f>+E52-E47</f>
        <v>0.50700000000000001</v>
      </c>
      <c r="F48" s="57">
        <f>+F52-F47</f>
        <v>0.19599999999999995</v>
      </c>
      <c r="G48" s="57">
        <f t="shared" ref="G48:I48" si="5">+G52-G47</f>
        <v>0.35</v>
      </c>
      <c r="H48" s="57">
        <f t="shared" si="5"/>
        <v>0.46700000000000003</v>
      </c>
      <c r="I48" s="58">
        <f t="shared" si="5"/>
        <v>0.39499999999999996</v>
      </c>
      <c r="J48" s="63"/>
      <c r="L48" s="43" t="s">
        <v>25</v>
      </c>
      <c r="M48" s="4"/>
      <c r="N48" s="4"/>
      <c r="O48" s="57">
        <f>+O52-O47</f>
        <v>0.35000000000000003</v>
      </c>
      <c r="P48" s="58">
        <f>+P52-P47</f>
        <v>0.48000000000000004</v>
      </c>
    </row>
    <row r="49" spans="2:16" x14ac:dyDescent="0.2">
      <c r="B49" s="39" t="s">
        <v>49</v>
      </c>
      <c r="C49" s="4"/>
      <c r="D49" s="4"/>
      <c r="E49" s="59">
        <f>+E51/E45</f>
        <v>9.7142857142857135E-3</v>
      </c>
      <c r="F49" s="59">
        <f>+F51/F45</f>
        <v>6.2666666666666669E-3</v>
      </c>
      <c r="G49" s="59">
        <f t="shared" ref="G49:I49" si="6">+G51/G45</f>
        <v>7.3333333333333341E-3</v>
      </c>
      <c r="H49" s="59">
        <f t="shared" si="6"/>
        <v>0.01</v>
      </c>
      <c r="I49" s="60">
        <f t="shared" si="6"/>
        <v>8.0000000000000002E-3</v>
      </c>
      <c r="J49" s="64"/>
      <c r="L49" s="39" t="s">
        <v>49</v>
      </c>
      <c r="M49" s="4"/>
      <c r="N49" s="4"/>
      <c r="O49" s="59">
        <f>+O51/O45</f>
        <v>0.01</v>
      </c>
      <c r="P49" s="60">
        <f>+P51/P45</f>
        <v>9.4999999999999998E-3</v>
      </c>
    </row>
    <row r="50" spans="2:16" x14ac:dyDescent="0.2">
      <c r="B50" s="19" t="s">
        <v>32</v>
      </c>
      <c r="C50" s="4"/>
      <c r="D50" s="4"/>
      <c r="E50" s="192">
        <v>0.06</v>
      </c>
      <c r="F50" s="183">
        <v>5.5E-2</v>
      </c>
      <c r="G50" s="192">
        <v>4.4999999999999998E-2</v>
      </c>
      <c r="H50" s="192">
        <v>3.5999999999999997E-2</v>
      </c>
      <c r="I50" s="224">
        <v>0.04</v>
      </c>
      <c r="J50" s="48" t="s">
        <v>179</v>
      </c>
      <c r="L50" s="19" t="s">
        <v>32</v>
      </c>
      <c r="M50" s="4"/>
      <c r="N50" s="4"/>
      <c r="O50" s="76">
        <v>3.3000000000000002E-2</v>
      </c>
      <c r="P50" s="54">
        <v>3.7999999999999999E-2</v>
      </c>
    </row>
    <row r="51" spans="2:16" x14ac:dyDescent="0.2">
      <c r="B51" s="3" t="s">
        <v>16</v>
      </c>
      <c r="C51" s="4"/>
      <c r="D51" s="4"/>
      <c r="E51" s="183">
        <v>6.7999999999999996E-3</v>
      </c>
      <c r="F51" s="183">
        <v>9.4000000000000004E-3</v>
      </c>
      <c r="G51" s="192">
        <v>2.2000000000000002</v>
      </c>
      <c r="H51" s="192">
        <v>4</v>
      </c>
      <c r="I51" s="224">
        <v>11.2</v>
      </c>
      <c r="J51" s="216" t="s">
        <v>176</v>
      </c>
      <c r="L51" s="3" t="s">
        <v>16</v>
      </c>
      <c r="M51" s="4"/>
      <c r="N51" s="4"/>
      <c r="O51" s="37">
        <v>0.1</v>
      </c>
      <c r="P51" s="54">
        <v>1.9</v>
      </c>
    </row>
    <row r="52" spans="2:16" ht="13.5" thickBot="1" x14ac:dyDescent="0.25">
      <c r="B52" s="41" t="s">
        <v>23</v>
      </c>
      <c r="C52" s="30"/>
      <c r="D52" s="30"/>
      <c r="E52" s="215">
        <v>0.86</v>
      </c>
      <c r="F52" s="215">
        <v>0.74</v>
      </c>
      <c r="G52" s="227">
        <v>0.82</v>
      </c>
      <c r="H52" s="210">
        <v>0.81</v>
      </c>
      <c r="I52" s="225">
        <v>0.82</v>
      </c>
      <c r="J52" s="216" t="s">
        <v>176</v>
      </c>
      <c r="L52" s="41" t="s">
        <v>23</v>
      </c>
      <c r="M52" s="30"/>
      <c r="N52" s="30"/>
      <c r="O52" s="55">
        <v>0.65</v>
      </c>
      <c r="P52" s="56">
        <v>0.81</v>
      </c>
    </row>
    <row r="53" spans="2:16" x14ac:dyDescent="0.2">
      <c r="C53" s="4"/>
      <c r="D53" s="4"/>
      <c r="E53" s="75"/>
      <c r="F53" s="75"/>
      <c r="H53" s="66"/>
      <c r="I53" s="66"/>
      <c r="J53" s="62"/>
      <c r="L53" s="202" t="s">
        <v>125</v>
      </c>
    </row>
    <row r="55" spans="2:16" x14ac:dyDescent="0.2">
      <c r="B55" s="35" t="s">
        <v>182</v>
      </c>
      <c r="L55" s="110" t="s">
        <v>161</v>
      </c>
    </row>
    <row r="56" spans="2:16" x14ac:dyDescent="0.2">
      <c r="B56" s="134" t="s">
        <v>150</v>
      </c>
      <c r="L56" s="35" t="s">
        <v>162</v>
      </c>
    </row>
    <row r="57" spans="2:16" x14ac:dyDescent="0.2">
      <c r="B57" s="134" t="s">
        <v>151</v>
      </c>
      <c r="L57" s="35" t="s">
        <v>163</v>
      </c>
    </row>
    <row r="58" spans="2:16" x14ac:dyDescent="0.2">
      <c r="L58" s="35" t="s">
        <v>186</v>
      </c>
    </row>
    <row r="59" spans="2:16" x14ac:dyDescent="0.2">
      <c r="L59" t="s">
        <v>183</v>
      </c>
    </row>
    <row r="60" spans="2:16" x14ac:dyDescent="0.2">
      <c r="L60" s="35" t="s">
        <v>187</v>
      </c>
    </row>
    <row r="62" spans="2:16" ht="13.5" thickBot="1" x14ac:dyDescent="0.25">
      <c r="L62" s="35" t="s">
        <v>190</v>
      </c>
    </row>
    <row r="63" spans="2:16" ht="34.5" thickBot="1" x14ac:dyDescent="0.25">
      <c r="L63" s="243" t="s">
        <v>2</v>
      </c>
      <c r="M63" s="242" t="s">
        <v>1</v>
      </c>
      <c r="N63" s="244" t="s">
        <v>3</v>
      </c>
      <c r="O63" s="244" t="s">
        <v>4</v>
      </c>
      <c r="P63" s="245" t="s">
        <v>43</v>
      </c>
    </row>
    <row r="64" spans="2:16" ht="18.75" x14ac:dyDescent="0.2">
      <c r="L64" s="231" t="s">
        <v>41</v>
      </c>
      <c r="M64" s="232" t="s">
        <v>174</v>
      </c>
      <c r="N64" s="233" t="s">
        <v>166</v>
      </c>
      <c r="O64" s="233" t="s">
        <v>167</v>
      </c>
      <c r="P64" s="234" t="s">
        <v>185</v>
      </c>
    </row>
    <row r="65" spans="2:16" ht="27.75" x14ac:dyDescent="0.2">
      <c r="L65" s="235" t="s">
        <v>33</v>
      </c>
      <c r="M65" s="246" t="s">
        <v>193</v>
      </c>
      <c r="N65" s="246" t="s">
        <v>192</v>
      </c>
      <c r="O65" s="246" t="s">
        <v>191</v>
      </c>
      <c r="P65" s="246" t="s">
        <v>194</v>
      </c>
    </row>
    <row r="66" spans="2:16" ht="36.75" x14ac:dyDescent="0.2">
      <c r="L66" s="235" t="s">
        <v>126</v>
      </c>
      <c r="M66" s="236">
        <f>AVERAGE(E39:I39)</f>
        <v>0.78420000000000001</v>
      </c>
      <c r="N66" s="247">
        <f>AVERAGE(E29:J29)</f>
        <v>0.66816666666666669</v>
      </c>
      <c r="O66" s="247">
        <f>AVERAGE(E18:I18)</f>
        <v>0.68979999999999997</v>
      </c>
      <c r="P66" s="237">
        <f>AVERAGE(G52:I52)</f>
        <v>0.81666666666666654</v>
      </c>
    </row>
    <row r="67" spans="2:16" ht="18.75" x14ac:dyDescent="0.2">
      <c r="L67" s="235" t="s">
        <v>28</v>
      </c>
      <c r="M67" s="239">
        <f>AVERAGE(E37:I37)</f>
        <v>1.77E-2</v>
      </c>
      <c r="N67" s="238">
        <f>AVERAGE(E26:J26)</f>
        <v>1.283333333333333E-2</v>
      </c>
      <c r="O67" s="248">
        <f>AVERAGE(E16:I16)</f>
        <v>1.1080000000000001E-2</v>
      </c>
      <c r="P67" s="240">
        <f>AVERAGE(G50:I50)</f>
        <v>4.0333333333333332E-2</v>
      </c>
    </row>
    <row r="68" spans="2:16" ht="36.75" thickBot="1" x14ac:dyDescent="0.25">
      <c r="L68" s="241" t="s">
        <v>45</v>
      </c>
      <c r="M68" s="229" t="s">
        <v>188</v>
      </c>
      <c r="N68" s="229" t="s">
        <v>54</v>
      </c>
      <c r="O68" s="229" t="s">
        <v>58</v>
      </c>
      <c r="P68" s="230" t="s">
        <v>189</v>
      </c>
    </row>
    <row r="76" spans="2:16" x14ac:dyDescent="0.2">
      <c r="B76" t="s">
        <v>128</v>
      </c>
      <c r="C76" s="134" t="s">
        <v>129</v>
      </c>
    </row>
    <row r="77" spans="2:16" x14ac:dyDescent="0.2">
      <c r="B77" t="s">
        <v>131</v>
      </c>
      <c r="C77" s="135"/>
    </row>
    <row r="78" spans="2:16" x14ac:dyDescent="0.2">
      <c r="B78" t="s">
        <v>130</v>
      </c>
      <c r="C78" s="135">
        <v>0.1</v>
      </c>
    </row>
    <row r="79" spans="2:16" x14ac:dyDescent="0.2">
      <c r="B79" t="s">
        <v>3</v>
      </c>
      <c r="C79" s="135">
        <v>0.1</v>
      </c>
      <c r="D79" t="s">
        <v>132</v>
      </c>
    </row>
    <row r="80" spans="2:16" x14ac:dyDescent="0.2">
      <c r="B80" t="s">
        <v>5</v>
      </c>
      <c r="C80" s="135">
        <v>0.3</v>
      </c>
      <c r="D80" t="s">
        <v>133</v>
      </c>
    </row>
    <row r="81" spans="2:6" x14ac:dyDescent="0.2">
      <c r="C81" s="135"/>
    </row>
    <row r="82" spans="2:6" x14ac:dyDescent="0.2">
      <c r="B82" s="35" t="s">
        <v>134</v>
      </c>
      <c r="C82" s="135"/>
      <c r="F82">
        <v>20</v>
      </c>
    </row>
    <row r="84" spans="2:6" ht="13.5" thickBot="1" x14ac:dyDescent="0.25">
      <c r="C84" s="35" t="s">
        <v>55</v>
      </c>
    </row>
    <row r="85" spans="2:6" ht="26.25" thickBot="1" x14ac:dyDescent="0.25">
      <c r="B85" s="35" t="s">
        <v>56</v>
      </c>
      <c r="C85" s="31" t="s">
        <v>1</v>
      </c>
      <c r="D85" s="32" t="s">
        <v>3</v>
      </c>
      <c r="E85" s="32" t="s">
        <v>4</v>
      </c>
      <c r="F85" s="33" t="s">
        <v>5</v>
      </c>
    </row>
    <row r="86" spans="2:6" x14ac:dyDescent="0.2">
      <c r="B86" s="96">
        <v>0</v>
      </c>
      <c r="C86" s="97">
        <f>+'CHP Payback'!C30*-1</f>
        <v>-2553300</v>
      </c>
      <c r="D86" s="97">
        <f>+'CHP Payback'!D30*-1</f>
        <v>-2250000</v>
      </c>
      <c r="E86" s="97">
        <f>+'CHP Payback'!E30*-1</f>
        <v>-2952900</v>
      </c>
      <c r="F86" s="98">
        <f>+'CHP Payback'!F30*-1</f>
        <v>-3220000</v>
      </c>
    </row>
    <row r="87" spans="2:6" x14ac:dyDescent="0.2">
      <c r="B87" s="99">
        <v>1</v>
      </c>
      <c r="C87" s="100">
        <f>+'CHP Payback'!C42</f>
        <v>697278.4454976304</v>
      </c>
      <c r="D87" s="100">
        <f>+'CHP Payback'!D42</f>
        <v>644161.47894736833</v>
      </c>
      <c r="E87" s="100">
        <f>+'CHP Payback'!E42</f>
        <v>640936.6434624698</v>
      </c>
      <c r="F87" s="101">
        <f>+'CHP Payback'!F42</f>
        <v>563784</v>
      </c>
    </row>
    <row r="88" spans="2:6" x14ac:dyDescent="0.2">
      <c r="B88" s="99">
        <v>2</v>
      </c>
      <c r="C88" s="102">
        <f>+C$87</f>
        <v>697278.4454976304</v>
      </c>
      <c r="D88" s="102">
        <f t="shared" ref="D88:F88" si="7">+D$87</f>
        <v>644161.47894736833</v>
      </c>
      <c r="E88" s="102">
        <f t="shared" si="7"/>
        <v>640936.6434624698</v>
      </c>
      <c r="F88" s="103">
        <f t="shared" si="7"/>
        <v>563784</v>
      </c>
    </row>
    <row r="89" spans="2:6" x14ac:dyDescent="0.2">
      <c r="B89" s="99">
        <v>3</v>
      </c>
      <c r="C89" s="102">
        <f t="shared" ref="C89:F104" si="8">+C$87</f>
        <v>697278.4454976304</v>
      </c>
      <c r="D89" s="102">
        <f t="shared" si="8"/>
        <v>644161.47894736833</v>
      </c>
      <c r="E89" s="102">
        <f t="shared" si="8"/>
        <v>640936.6434624698</v>
      </c>
      <c r="F89" s="103">
        <f t="shared" si="8"/>
        <v>563784</v>
      </c>
    </row>
    <row r="90" spans="2:6" x14ac:dyDescent="0.2">
      <c r="B90" s="99">
        <v>4</v>
      </c>
      <c r="C90" s="102">
        <f t="shared" si="8"/>
        <v>697278.4454976304</v>
      </c>
      <c r="D90" s="102">
        <f t="shared" si="8"/>
        <v>644161.47894736833</v>
      </c>
      <c r="E90" s="102">
        <f t="shared" si="8"/>
        <v>640936.6434624698</v>
      </c>
      <c r="F90" s="103">
        <f t="shared" si="8"/>
        <v>563784</v>
      </c>
    </row>
    <row r="91" spans="2:6" x14ac:dyDescent="0.2">
      <c r="B91" s="99">
        <v>5</v>
      </c>
      <c r="C91" s="102">
        <f t="shared" si="8"/>
        <v>697278.4454976304</v>
      </c>
      <c r="D91" s="102">
        <f t="shared" si="8"/>
        <v>644161.47894736833</v>
      </c>
      <c r="E91" s="102">
        <f t="shared" si="8"/>
        <v>640936.6434624698</v>
      </c>
      <c r="F91" s="103">
        <f t="shared" si="8"/>
        <v>563784</v>
      </c>
    </row>
    <row r="92" spans="2:6" x14ac:dyDescent="0.2">
      <c r="B92" s="99">
        <v>6</v>
      </c>
      <c r="C92" s="102">
        <f t="shared" si="8"/>
        <v>697278.4454976304</v>
      </c>
      <c r="D92" s="102">
        <f t="shared" si="8"/>
        <v>644161.47894736833</v>
      </c>
      <c r="E92" s="102">
        <f t="shared" si="8"/>
        <v>640936.6434624698</v>
      </c>
      <c r="F92" s="103">
        <f t="shared" si="8"/>
        <v>563784</v>
      </c>
    </row>
    <row r="93" spans="2:6" x14ac:dyDescent="0.2">
      <c r="B93" s="99">
        <v>7</v>
      </c>
      <c r="C93" s="102">
        <f t="shared" si="8"/>
        <v>697278.4454976304</v>
      </c>
      <c r="D93" s="102">
        <f t="shared" si="8"/>
        <v>644161.47894736833</v>
      </c>
      <c r="E93" s="102">
        <f t="shared" si="8"/>
        <v>640936.6434624698</v>
      </c>
      <c r="F93" s="103">
        <f t="shared" si="8"/>
        <v>563784</v>
      </c>
    </row>
    <row r="94" spans="2:6" x14ac:dyDescent="0.2">
      <c r="B94" s="99">
        <v>8</v>
      </c>
      <c r="C94" s="102">
        <f t="shared" si="8"/>
        <v>697278.4454976304</v>
      </c>
      <c r="D94" s="102">
        <f t="shared" si="8"/>
        <v>644161.47894736833</v>
      </c>
      <c r="E94" s="102">
        <f t="shared" si="8"/>
        <v>640936.6434624698</v>
      </c>
      <c r="F94" s="103">
        <f t="shared" si="8"/>
        <v>563784</v>
      </c>
    </row>
    <row r="95" spans="2:6" x14ac:dyDescent="0.2">
      <c r="B95" s="99">
        <v>9</v>
      </c>
      <c r="C95" s="102">
        <f t="shared" si="8"/>
        <v>697278.4454976304</v>
      </c>
      <c r="D95" s="102">
        <f t="shared" si="8"/>
        <v>644161.47894736833</v>
      </c>
      <c r="E95" s="102">
        <f t="shared" si="8"/>
        <v>640936.6434624698</v>
      </c>
      <c r="F95" s="103">
        <f t="shared" si="8"/>
        <v>563784</v>
      </c>
    </row>
    <row r="96" spans="2:6" x14ac:dyDescent="0.2">
      <c r="B96" s="99">
        <v>10</v>
      </c>
      <c r="C96" s="102">
        <f t="shared" si="8"/>
        <v>697278.4454976304</v>
      </c>
      <c r="D96" s="102">
        <f t="shared" si="8"/>
        <v>644161.47894736833</v>
      </c>
      <c r="E96" s="102">
        <f t="shared" si="8"/>
        <v>640936.6434624698</v>
      </c>
      <c r="F96" s="103">
        <f t="shared" si="8"/>
        <v>563784</v>
      </c>
    </row>
    <row r="97" spans="2:16" x14ac:dyDescent="0.2">
      <c r="B97" s="327">
        <v>11</v>
      </c>
      <c r="C97" s="102">
        <f t="shared" si="8"/>
        <v>697278.4454976304</v>
      </c>
      <c r="D97" s="102">
        <f t="shared" si="8"/>
        <v>644161.47894736833</v>
      </c>
      <c r="E97" s="102">
        <f t="shared" si="8"/>
        <v>640936.6434624698</v>
      </c>
      <c r="F97" s="103">
        <f t="shared" si="8"/>
        <v>563784</v>
      </c>
    </row>
    <row r="98" spans="2:16" x14ac:dyDescent="0.2">
      <c r="B98" s="327">
        <v>12</v>
      </c>
      <c r="C98" s="102">
        <f t="shared" si="8"/>
        <v>697278.4454976304</v>
      </c>
      <c r="D98" s="102">
        <f t="shared" si="8"/>
        <v>644161.47894736833</v>
      </c>
      <c r="E98" s="102">
        <f t="shared" si="8"/>
        <v>640936.6434624698</v>
      </c>
      <c r="F98" s="103">
        <f t="shared" si="8"/>
        <v>563784</v>
      </c>
    </row>
    <row r="99" spans="2:16" x14ac:dyDescent="0.2">
      <c r="B99" s="327">
        <v>13</v>
      </c>
      <c r="C99" s="102">
        <f t="shared" si="8"/>
        <v>697278.4454976304</v>
      </c>
      <c r="D99" s="102">
        <f t="shared" si="8"/>
        <v>644161.47894736833</v>
      </c>
      <c r="E99" s="102">
        <f t="shared" si="8"/>
        <v>640936.6434624698</v>
      </c>
      <c r="F99" s="103">
        <f t="shared" si="8"/>
        <v>563784</v>
      </c>
      <c r="G99" s="328"/>
      <c r="H99" s="328"/>
    </row>
    <row r="100" spans="2:16" x14ac:dyDescent="0.2">
      <c r="B100" s="327">
        <v>14</v>
      </c>
      <c r="C100" s="102">
        <f t="shared" si="8"/>
        <v>697278.4454976304</v>
      </c>
      <c r="D100" s="102">
        <f t="shared" si="8"/>
        <v>644161.47894736833</v>
      </c>
      <c r="E100" s="102">
        <f t="shared" si="8"/>
        <v>640936.6434624698</v>
      </c>
      <c r="F100" s="103">
        <f t="shared" si="8"/>
        <v>563784</v>
      </c>
      <c r="G100" s="107"/>
      <c r="H100" s="107"/>
    </row>
    <row r="101" spans="2:16" x14ac:dyDescent="0.2">
      <c r="B101" s="327">
        <v>15</v>
      </c>
      <c r="C101" s="102">
        <f t="shared" si="8"/>
        <v>697278.4454976304</v>
      </c>
      <c r="D101" s="102">
        <f t="shared" si="8"/>
        <v>644161.47894736833</v>
      </c>
      <c r="E101" s="102">
        <f t="shared" si="8"/>
        <v>640936.6434624698</v>
      </c>
      <c r="F101" s="103">
        <f t="shared" si="8"/>
        <v>563784</v>
      </c>
      <c r="G101" s="107"/>
      <c r="H101" s="107"/>
    </row>
    <row r="102" spans="2:16" x14ac:dyDescent="0.2">
      <c r="B102" s="327">
        <v>16</v>
      </c>
      <c r="C102" s="102">
        <f t="shared" si="8"/>
        <v>697278.4454976304</v>
      </c>
      <c r="D102" s="102">
        <f t="shared" si="8"/>
        <v>644161.47894736833</v>
      </c>
      <c r="E102" s="102">
        <f t="shared" si="8"/>
        <v>640936.6434624698</v>
      </c>
      <c r="F102" s="103">
        <f t="shared" si="8"/>
        <v>563784</v>
      </c>
      <c r="G102" s="107"/>
      <c r="H102" s="107"/>
    </row>
    <row r="103" spans="2:16" x14ac:dyDescent="0.2">
      <c r="B103" s="327">
        <v>17</v>
      </c>
      <c r="C103" s="102">
        <f t="shared" si="8"/>
        <v>697278.4454976304</v>
      </c>
      <c r="D103" s="102">
        <f t="shared" si="8"/>
        <v>644161.47894736833</v>
      </c>
      <c r="E103" s="102">
        <f t="shared" si="8"/>
        <v>640936.6434624698</v>
      </c>
      <c r="F103" s="103">
        <f t="shared" si="8"/>
        <v>563784</v>
      </c>
      <c r="G103" s="107"/>
      <c r="H103" s="107"/>
    </row>
    <row r="104" spans="2:16" x14ac:dyDescent="0.2">
      <c r="B104" s="327">
        <v>18</v>
      </c>
      <c r="C104" s="102">
        <f t="shared" si="8"/>
        <v>697278.4454976304</v>
      </c>
      <c r="D104" s="102">
        <f t="shared" si="8"/>
        <v>644161.47894736833</v>
      </c>
      <c r="E104" s="102">
        <f t="shared" si="8"/>
        <v>640936.6434624698</v>
      </c>
      <c r="F104" s="103">
        <f t="shared" si="8"/>
        <v>563784</v>
      </c>
      <c r="G104" s="107"/>
      <c r="H104" s="107"/>
      <c r="I104" s="35" t="s">
        <v>558</v>
      </c>
    </row>
    <row r="105" spans="2:16" ht="25.5" x14ac:dyDescent="0.25">
      <c r="B105" s="327">
        <v>19</v>
      </c>
      <c r="C105" s="102">
        <f t="shared" ref="C105:F106" si="9">+C$87</f>
        <v>697278.4454976304</v>
      </c>
      <c r="D105" s="102">
        <f t="shared" si="9"/>
        <v>644161.47894736833</v>
      </c>
      <c r="E105" s="102">
        <f t="shared" si="9"/>
        <v>640936.6434624698</v>
      </c>
      <c r="F105" s="103">
        <f t="shared" si="9"/>
        <v>563784</v>
      </c>
      <c r="H105" s="114" t="s">
        <v>119</v>
      </c>
      <c r="I105" s="689" t="s">
        <v>569</v>
      </c>
      <c r="J105" s="686" t="s">
        <v>570</v>
      </c>
      <c r="K105" s="686" t="s">
        <v>571</v>
      </c>
      <c r="L105" s="687" t="s">
        <v>572</v>
      </c>
      <c r="M105" s="687" t="s">
        <v>573</v>
      </c>
      <c r="N105" s="687" t="s">
        <v>574</v>
      </c>
      <c r="O105" s="687" t="s">
        <v>575</v>
      </c>
      <c r="P105" s="686" t="s">
        <v>576</v>
      </c>
    </row>
    <row r="106" spans="2:16" ht="15.75" thickBot="1" x14ac:dyDescent="0.3">
      <c r="B106" s="329">
        <v>20</v>
      </c>
      <c r="C106" s="104">
        <f t="shared" si="9"/>
        <v>697278.4454976304</v>
      </c>
      <c r="D106" s="104">
        <f t="shared" si="9"/>
        <v>644161.47894736833</v>
      </c>
      <c r="E106" s="104">
        <f t="shared" si="9"/>
        <v>640936.6434624698</v>
      </c>
      <c r="F106" s="105">
        <f t="shared" si="9"/>
        <v>563784</v>
      </c>
      <c r="H106" s="115" t="s">
        <v>118</v>
      </c>
      <c r="I106" s="690" t="s">
        <v>577</v>
      </c>
      <c r="J106" s="688" t="s">
        <v>118</v>
      </c>
      <c r="K106" s="682" t="str">
        <f>J106</f>
        <v>US Average</v>
      </c>
      <c r="L106" s="683" t="s">
        <v>578</v>
      </c>
      <c r="M106" s="683" t="s">
        <v>578</v>
      </c>
      <c r="N106" s="683" t="s">
        <v>579</v>
      </c>
      <c r="O106" s="683" t="s">
        <v>579</v>
      </c>
      <c r="P106" s="683" t="s">
        <v>259</v>
      </c>
    </row>
    <row r="107" spans="2:16" ht="15" x14ac:dyDescent="0.25">
      <c r="B107" s="272"/>
      <c r="C107" s="273"/>
      <c r="D107" s="274"/>
      <c r="E107" s="274"/>
      <c r="H107" s="116" t="s">
        <v>70</v>
      </c>
      <c r="I107" s="690" t="s">
        <v>580</v>
      </c>
      <c r="J107" s="683" t="s">
        <v>69</v>
      </c>
      <c r="K107" s="683" t="s">
        <v>69</v>
      </c>
      <c r="L107" s="683" t="s">
        <v>581</v>
      </c>
      <c r="M107" s="683" t="s">
        <v>581</v>
      </c>
      <c r="N107" s="683" t="s">
        <v>582</v>
      </c>
      <c r="O107" s="683" t="s">
        <v>582</v>
      </c>
      <c r="P107" s="683" t="s">
        <v>59</v>
      </c>
    </row>
    <row r="108" spans="2:16" ht="15" x14ac:dyDescent="0.25">
      <c r="B108" s="18"/>
      <c r="C108" s="275"/>
      <c r="D108" s="276"/>
      <c r="E108" s="18"/>
      <c r="H108" s="116" t="s">
        <v>69</v>
      </c>
      <c r="I108" s="690" t="s">
        <v>583</v>
      </c>
      <c r="J108" s="683" t="s">
        <v>70</v>
      </c>
      <c r="K108" s="683" t="s">
        <v>70</v>
      </c>
      <c r="L108" s="683" t="s">
        <v>584</v>
      </c>
      <c r="M108" s="683" t="s">
        <v>584</v>
      </c>
      <c r="N108" s="683" t="s">
        <v>585</v>
      </c>
      <c r="O108" s="683" t="s">
        <v>585</v>
      </c>
      <c r="P108" s="683" t="s">
        <v>60</v>
      </c>
    </row>
    <row r="109" spans="2:16" ht="15" x14ac:dyDescent="0.25">
      <c r="B109" s="272"/>
      <c r="C109" s="275"/>
      <c r="D109" s="274"/>
      <c r="E109" s="274"/>
      <c r="H109" s="116" t="s">
        <v>72</v>
      </c>
      <c r="I109" s="690" t="s">
        <v>586</v>
      </c>
      <c r="J109" s="683" t="s">
        <v>71</v>
      </c>
      <c r="K109" s="683" t="s">
        <v>71</v>
      </c>
      <c r="L109" s="683" t="s">
        <v>587</v>
      </c>
      <c r="M109" s="683" t="s">
        <v>587</v>
      </c>
      <c r="N109" s="683" t="s">
        <v>588</v>
      </c>
      <c r="O109" s="683" t="s">
        <v>588</v>
      </c>
      <c r="P109" s="683" t="s">
        <v>61</v>
      </c>
    </row>
    <row r="110" spans="2:16" ht="15" x14ac:dyDescent="0.25">
      <c r="B110" s="272"/>
      <c r="C110" s="275"/>
      <c r="D110" s="274"/>
      <c r="E110" s="274"/>
      <c r="H110" s="116" t="s">
        <v>71</v>
      </c>
      <c r="I110" s="690" t="s">
        <v>589</v>
      </c>
      <c r="J110" s="683" t="s">
        <v>72</v>
      </c>
      <c r="K110" s="683" t="s">
        <v>72</v>
      </c>
      <c r="L110" s="683" t="s">
        <v>590</v>
      </c>
      <c r="M110" s="683" t="s">
        <v>590</v>
      </c>
      <c r="N110" s="683" t="s">
        <v>591</v>
      </c>
      <c r="O110" s="683" t="s">
        <v>591</v>
      </c>
      <c r="P110" s="683" t="s">
        <v>62</v>
      </c>
    </row>
    <row r="111" spans="2:16" ht="15" x14ac:dyDescent="0.25">
      <c r="B111" s="18"/>
      <c r="C111" s="275"/>
      <c r="D111" s="276"/>
      <c r="E111" s="18"/>
      <c r="H111" s="116" t="s">
        <v>73</v>
      </c>
      <c r="I111" s="691" t="s">
        <v>201</v>
      </c>
      <c r="J111" s="683" t="s">
        <v>73</v>
      </c>
      <c r="K111" s="683" t="s">
        <v>73</v>
      </c>
      <c r="L111" s="683" t="s">
        <v>592</v>
      </c>
      <c r="M111" s="683" t="s">
        <v>592</v>
      </c>
      <c r="N111" s="683" t="s">
        <v>593</v>
      </c>
      <c r="O111" s="683" t="s">
        <v>593</v>
      </c>
      <c r="P111" s="683" t="s">
        <v>63</v>
      </c>
    </row>
    <row r="112" spans="2:16" x14ac:dyDescent="0.2">
      <c r="B112" s="272"/>
      <c r="C112" s="275"/>
      <c r="D112" s="274"/>
      <c r="E112" s="274"/>
      <c r="H112" s="116" t="s">
        <v>74</v>
      </c>
      <c r="J112" s="683" t="s">
        <v>74</v>
      </c>
      <c r="K112" s="683" t="s">
        <v>74</v>
      </c>
      <c r="L112" s="683" t="s">
        <v>594</v>
      </c>
      <c r="M112" s="683" t="s">
        <v>594</v>
      </c>
      <c r="N112" s="683" t="s">
        <v>595</v>
      </c>
      <c r="O112" s="683" t="s">
        <v>595</v>
      </c>
      <c r="P112" s="683" t="s">
        <v>64</v>
      </c>
    </row>
    <row r="113" spans="2:16" x14ac:dyDescent="0.2">
      <c r="B113" s="17"/>
      <c r="C113" s="275"/>
      <c r="D113" s="18"/>
      <c r="E113" s="18"/>
      <c r="H113" s="116" t="s">
        <v>75</v>
      </c>
      <c r="J113" s="683" t="s">
        <v>75</v>
      </c>
      <c r="K113" s="683" t="s">
        <v>75</v>
      </c>
      <c r="L113" s="683" t="s">
        <v>596</v>
      </c>
      <c r="M113" s="683" t="s">
        <v>596</v>
      </c>
      <c r="N113" s="683" t="s">
        <v>597</v>
      </c>
      <c r="O113" s="683" t="s">
        <v>597</v>
      </c>
      <c r="P113" s="683" t="s">
        <v>65</v>
      </c>
    </row>
    <row r="114" spans="2:16" x14ac:dyDescent="0.2">
      <c r="B114" s="272"/>
      <c r="C114" s="275"/>
      <c r="D114" s="274"/>
      <c r="E114" s="274"/>
      <c r="H114" s="280" t="s">
        <v>287</v>
      </c>
      <c r="J114" s="683" t="s">
        <v>287</v>
      </c>
      <c r="K114" s="683" t="s">
        <v>287</v>
      </c>
      <c r="L114" s="683" t="s">
        <v>598</v>
      </c>
      <c r="M114" s="683" t="s">
        <v>598</v>
      </c>
      <c r="N114" s="683" t="s">
        <v>599</v>
      </c>
      <c r="O114" s="683" t="s">
        <v>599</v>
      </c>
      <c r="P114" s="683" t="s">
        <v>66</v>
      </c>
    </row>
    <row r="115" spans="2:16" x14ac:dyDescent="0.2">
      <c r="B115" s="272"/>
      <c r="C115" s="275"/>
      <c r="D115" s="274"/>
      <c r="E115" s="274"/>
      <c r="H115" s="116" t="s">
        <v>121</v>
      </c>
      <c r="J115" s="683" t="s">
        <v>121</v>
      </c>
      <c r="K115" s="683" t="s">
        <v>121</v>
      </c>
      <c r="L115" s="683" t="s">
        <v>600</v>
      </c>
      <c r="M115" s="683" t="s">
        <v>600</v>
      </c>
      <c r="N115" s="683" t="s">
        <v>601</v>
      </c>
      <c r="O115" s="683" t="s">
        <v>601</v>
      </c>
      <c r="P115" s="683" t="s">
        <v>67</v>
      </c>
    </row>
    <row r="116" spans="2:16" x14ac:dyDescent="0.2">
      <c r="B116" s="272"/>
      <c r="C116" s="275"/>
      <c r="D116" s="274"/>
      <c r="E116" s="274"/>
      <c r="H116" s="116" t="s">
        <v>76</v>
      </c>
      <c r="J116" s="684" t="s">
        <v>76</v>
      </c>
      <c r="K116" s="684" t="s">
        <v>76</v>
      </c>
      <c r="L116" s="683" t="s">
        <v>602</v>
      </c>
      <c r="M116" s="683" t="s">
        <v>602</v>
      </c>
      <c r="N116" s="685" t="s">
        <v>603</v>
      </c>
      <c r="O116" s="685" t="s">
        <v>603</v>
      </c>
      <c r="P116" s="685" t="s">
        <v>68</v>
      </c>
    </row>
    <row r="117" spans="2:16" x14ac:dyDescent="0.2">
      <c r="B117" s="272"/>
      <c r="C117" s="275"/>
      <c r="D117" s="274"/>
      <c r="E117" s="274"/>
      <c r="H117" s="116" t="s">
        <v>77</v>
      </c>
      <c r="J117" s="683" t="s">
        <v>77</v>
      </c>
      <c r="K117" s="683" t="s">
        <v>77</v>
      </c>
      <c r="L117" s="683" t="s">
        <v>604</v>
      </c>
      <c r="M117" s="683" t="s">
        <v>604</v>
      </c>
      <c r="N117" s="4"/>
      <c r="O117" s="4"/>
      <c r="P117" s="4"/>
    </row>
    <row r="118" spans="2:16" x14ac:dyDescent="0.2">
      <c r="B118" s="272"/>
      <c r="C118" s="275"/>
      <c r="D118" s="274"/>
      <c r="E118" s="274"/>
      <c r="H118" s="116" t="s">
        <v>78</v>
      </c>
      <c r="J118" s="683" t="s">
        <v>78</v>
      </c>
      <c r="K118" s="683" t="s">
        <v>78</v>
      </c>
      <c r="L118" s="683" t="s">
        <v>606</v>
      </c>
      <c r="M118" s="683" t="s">
        <v>606</v>
      </c>
      <c r="N118" s="4"/>
      <c r="O118" s="4"/>
      <c r="P118" s="4"/>
    </row>
    <row r="119" spans="2:16" x14ac:dyDescent="0.2">
      <c r="B119" s="272"/>
      <c r="C119" s="275"/>
      <c r="D119" s="274"/>
      <c r="E119" s="274"/>
      <c r="H119" s="116" t="s">
        <v>80</v>
      </c>
      <c r="J119" s="683" t="s">
        <v>79</v>
      </c>
      <c r="K119" s="683" t="s">
        <v>79</v>
      </c>
      <c r="L119" s="683" t="s">
        <v>609</v>
      </c>
      <c r="M119" s="683" t="s">
        <v>609</v>
      </c>
      <c r="N119" s="4"/>
      <c r="O119" s="4"/>
      <c r="P119" s="4"/>
    </row>
    <row r="120" spans="2:16" x14ac:dyDescent="0.2">
      <c r="B120" s="272"/>
      <c r="C120" s="275"/>
      <c r="D120" s="274"/>
      <c r="E120" s="274"/>
      <c r="H120" s="116" t="s">
        <v>81</v>
      </c>
      <c r="J120" s="683" t="s">
        <v>80</v>
      </c>
      <c r="K120" s="683" t="s">
        <v>80</v>
      </c>
      <c r="L120" s="683" t="s">
        <v>610</v>
      </c>
      <c r="M120" s="683" t="s">
        <v>610</v>
      </c>
      <c r="N120" s="4"/>
      <c r="O120" s="4"/>
      <c r="P120" s="4"/>
    </row>
    <row r="121" spans="2:16" x14ac:dyDescent="0.2">
      <c r="B121" s="272"/>
      <c r="C121" s="275"/>
      <c r="D121" s="274"/>
      <c r="E121" s="274"/>
      <c r="H121" s="116" t="s">
        <v>82</v>
      </c>
      <c r="J121" s="683" t="s">
        <v>81</v>
      </c>
      <c r="K121" s="683" t="s">
        <v>81</v>
      </c>
      <c r="L121" s="683" t="s">
        <v>613</v>
      </c>
      <c r="M121" s="683" t="s">
        <v>613</v>
      </c>
      <c r="N121" s="4"/>
      <c r="O121" s="4"/>
      <c r="P121" s="4"/>
    </row>
    <row r="122" spans="2:16" x14ac:dyDescent="0.2">
      <c r="B122" s="272"/>
      <c r="C122" s="275"/>
      <c r="D122" s="274"/>
      <c r="E122" s="274"/>
      <c r="H122" s="116" t="s">
        <v>79</v>
      </c>
      <c r="J122" s="683" t="s">
        <v>82</v>
      </c>
      <c r="K122" s="683" t="s">
        <v>82</v>
      </c>
      <c r="L122" s="683" t="s">
        <v>614</v>
      </c>
      <c r="M122" s="683" t="s">
        <v>614</v>
      </c>
      <c r="N122" s="4"/>
      <c r="O122" s="4"/>
      <c r="P122" s="4"/>
    </row>
    <row r="123" spans="2:16" x14ac:dyDescent="0.2">
      <c r="B123" s="272"/>
      <c r="C123" s="275"/>
      <c r="D123" s="274"/>
      <c r="E123" s="274"/>
      <c r="H123" s="116" t="s">
        <v>83</v>
      </c>
      <c r="J123" s="683" t="s">
        <v>83</v>
      </c>
      <c r="K123" s="683" t="s">
        <v>83</v>
      </c>
      <c r="L123" s="683" t="s">
        <v>615</v>
      </c>
      <c r="M123" s="683" t="s">
        <v>615</v>
      </c>
      <c r="N123" s="4"/>
      <c r="O123" s="4"/>
      <c r="P123" s="4"/>
    </row>
    <row r="124" spans="2:16" x14ac:dyDescent="0.2">
      <c r="B124" s="272"/>
      <c r="C124" s="275"/>
      <c r="D124" s="274"/>
      <c r="E124" s="274"/>
      <c r="H124" s="116" t="s">
        <v>84</v>
      </c>
      <c r="J124" s="683" t="s">
        <v>84</v>
      </c>
      <c r="K124" s="683" t="s">
        <v>84</v>
      </c>
      <c r="L124" s="683" t="s">
        <v>616</v>
      </c>
      <c r="M124" s="683" t="s">
        <v>616</v>
      </c>
      <c r="N124" s="4"/>
      <c r="O124" s="4"/>
      <c r="P124" s="4"/>
    </row>
    <row r="125" spans="2:16" x14ac:dyDescent="0.2">
      <c r="B125" s="272"/>
      <c r="C125" s="275"/>
      <c r="D125" s="274"/>
      <c r="E125" s="274"/>
      <c r="H125" s="116" t="s">
        <v>85</v>
      </c>
      <c r="J125" s="683" t="s">
        <v>85</v>
      </c>
      <c r="K125" s="683" t="s">
        <v>85</v>
      </c>
      <c r="L125" s="683" t="s">
        <v>617</v>
      </c>
      <c r="M125" s="683" t="s">
        <v>617</v>
      </c>
      <c r="N125" s="4"/>
      <c r="O125" s="4"/>
      <c r="P125" s="4"/>
    </row>
    <row r="126" spans="2:16" x14ac:dyDescent="0.2">
      <c r="B126" s="272"/>
      <c r="C126" s="275"/>
      <c r="D126" s="274"/>
      <c r="E126" s="274"/>
      <c r="H126" s="116" t="s">
        <v>88</v>
      </c>
      <c r="J126" s="683" t="s">
        <v>86</v>
      </c>
      <c r="K126" s="683" t="s">
        <v>86</v>
      </c>
      <c r="L126" s="683" t="s">
        <v>618</v>
      </c>
      <c r="M126" s="683" t="s">
        <v>618</v>
      </c>
      <c r="N126" s="4"/>
      <c r="O126" s="4"/>
      <c r="P126" s="4"/>
    </row>
    <row r="127" spans="2:16" x14ac:dyDescent="0.2">
      <c r="B127" s="272"/>
      <c r="C127" s="275"/>
      <c r="D127" s="274"/>
      <c r="E127" s="274"/>
      <c r="H127" s="116" t="s">
        <v>87</v>
      </c>
      <c r="J127" s="683" t="s">
        <v>87</v>
      </c>
      <c r="K127" s="683" t="s">
        <v>87</v>
      </c>
      <c r="L127" s="683" t="s">
        <v>619</v>
      </c>
      <c r="M127" s="683" t="s">
        <v>619</v>
      </c>
      <c r="N127" s="4"/>
      <c r="O127" s="4"/>
      <c r="P127" s="4"/>
    </row>
    <row r="128" spans="2:16" x14ac:dyDescent="0.2">
      <c r="B128" s="18"/>
      <c r="C128" s="275"/>
      <c r="D128" s="276"/>
      <c r="E128" s="18"/>
      <c r="H128" s="116" t="s">
        <v>86</v>
      </c>
      <c r="J128" s="683" t="s">
        <v>88</v>
      </c>
      <c r="K128" s="683" t="s">
        <v>88</v>
      </c>
      <c r="L128" s="683" t="s">
        <v>620</v>
      </c>
      <c r="M128" s="683" t="s">
        <v>620</v>
      </c>
      <c r="N128" s="4"/>
      <c r="O128" s="4"/>
      <c r="P128" s="4"/>
    </row>
    <row r="129" spans="2:16" x14ac:dyDescent="0.2">
      <c r="B129" s="272"/>
      <c r="C129" s="275"/>
      <c r="D129" s="274"/>
      <c r="E129" s="274"/>
      <c r="H129" s="116" t="s">
        <v>89</v>
      </c>
      <c r="J129" s="683" t="s">
        <v>89</v>
      </c>
      <c r="K129" s="683" t="s">
        <v>89</v>
      </c>
      <c r="L129" s="683" t="s">
        <v>621</v>
      </c>
      <c r="M129" s="683" t="s">
        <v>621</v>
      </c>
      <c r="N129" s="4"/>
      <c r="O129" s="4"/>
      <c r="P129" s="4"/>
    </row>
    <row r="130" spans="2:16" x14ac:dyDescent="0.2">
      <c r="B130" s="272"/>
      <c r="C130" s="275"/>
      <c r="D130" s="274"/>
      <c r="E130" s="274"/>
      <c r="H130" s="116" t="s">
        <v>90</v>
      </c>
      <c r="J130" s="683" t="s">
        <v>90</v>
      </c>
      <c r="K130" s="683" t="s">
        <v>90</v>
      </c>
      <c r="L130" s="683" t="s">
        <v>622</v>
      </c>
      <c r="M130" s="683" t="s">
        <v>622</v>
      </c>
      <c r="N130" s="4"/>
      <c r="O130" s="4"/>
      <c r="P130" s="4"/>
    </row>
    <row r="131" spans="2:16" x14ac:dyDescent="0.2">
      <c r="B131" s="272"/>
      <c r="C131" s="275"/>
      <c r="D131" s="274"/>
      <c r="E131" s="274"/>
      <c r="H131" s="116" t="s">
        <v>92</v>
      </c>
      <c r="J131" s="683" t="s">
        <v>91</v>
      </c>
      <c r="K131" s="683" t="s">
        <v>91</v>
      </c>
      <c r="L131" s="685" t="s">
        <v>623</v>
      </c>
      <c r="M131" s="685" t="s">
        <v>623</v>
      </c>
      <c r="N131" s="4"/>
      <c r="O131" s="4"/>
      <c r="P131" s="4"/>
    </row>
    <row r="132" spans="2:16" x14ac:dyDescent="0.2">
      <c r="B132" s="272"/>
      <c r="C132" s="275"/>
      <c r="D132" s="274"/>
      <c r="E132" s="274"/>
      <c r="H132" s="116" t="s">
        <v>91</v>
      </c>
      <c r="J132" s="683" t="s">
        <v>92</v>
      </c>
      <c r="K132" s="683" t="s">
        <v>92</v>
      </c>
      <c r="L132" s="4"/>
      <c r="M132" s="4"/>
      <c r="N132" s="4"/>
      <c r="O132" s="4"/>
      <c r="P132" s="4"/>
    </row>
    <row r="133" spans="2:16" x14ac:dyDescent="0.2">
      <c r="B133" s="272"/>
      <c r="C133" s="275"/>
      <c r="D133" s="274"/>
      <c r="E133" s="274"/>
      <c r="H133" s="116" t="s">
        <v>93</v>
      </c>
      <c r="J133" s="683" t="s">
        <v>93</v>
      </c>
      <c r="K133" s="683" t="s">
        <v>93</v>
      </c>
      <c r="L133" s="4"/>
      <c r="M133" s="4"/>
      <c r="N133" s="4"/>
      <c r="O133" s="4"/>
      <c r="P133" s="4"/>
    </row>
    <row r="134" spans="2:16" x14ac:dyDescent="0.2">
      <c r="B134" s="272"/>
      <c r="C134" s="275"/>
      <c r="D134" s="274"/>
      <c r="E134" s="274"/>
      <c r="H134" s="116" t="s">
        <v>96</v>
      </c>
      <c r="J134" s="683" t="s">
        <v>94</v>
      </c>
      <c r="K134" s="683" t="s">
        <v>94</v>
      </c>
      <c r="L134" s="4"/>
      <c r="M134" s="4"/>
      <c r="N134" s="4"/>
      <c r="O134" s="4"/>
      <c r="P134" s="4"/>
    </row>
    <row r="135" spans="2:16" x14ac:dyDescent="0.2">
      <c r="B135" s="272"/>
      <c r="C135" s="275"/>
      <c r="D135" s="274"/>
      <c r="E135" s="274"/>
      <c r="H135" s="116" t="s">
        <v>100</v>
      </c>
      <c r="J135" s="683" t="s">
        <v>95</v>
      </c>
      <c r="K135" s="683" t="s">
        <v>95</v>
      </c>
      <c r="L135" s="4"/>
      <c r="M135" s="4"/>
      <c r="N135" s="4"/>
      <c r="O135" s="4"/>
      <c r="P135" s="4"/>
    </row>
    <row r="136" spans="2:16" x14ac:dyDescent="0.2">
      <c r="B136" s="272"/>
      <c r="C136" s="275"/>
      <c r="D136" s="274"/>
      <c r="E136" s="274"/>
      <c r="H136" s="116" t="s">
        <v>97</v>
      </c>
      <c r="J136" s="684" t="s">
        <v>96</v>
      </c>
      <c r="K136" s="684" t="s">
        <v>96</v>
      </c>
      <c r="L136" s="4"/>
      <c r="M136" s="4"/>
      <c r="N136" s="4"/>
      <c r="O136" s="4"/>
      <c r="P136" s="4"/>
    </row>
    <row r="137" spans="2:16" x14ac:dyDescent="0.2">
      <c r="B137" s="272"/>
      <c r="C137" s="275"/>
      <c r="D137" s="274"/>
      <c r="E137" s="274"/>
      <c r="H137" s="116" t="s">
        <v>98</v>
      </c>
      <c r="J137" s="684" t="s">
        <v>97</v>
      </c>
      <c r="K137" s="684" t="s">
        <v>97</v>
      </c>
      <c r="L137" s="4"/>
      <c r="M137" s="4"/>
      <c r="N137" s="4"/>
      <c r="O137" s="4"/>
      <c r="P137" s="4"/>
    </row>
    <row r="138" spans="2:16" x14ac:dyDescent="0.2">
      <c r="B138" s="18"/>
      <c r="C138" s="275"/>
      <c r="D138" s="276"/>
      <c r="E138" s="18"/>
      <c r="H138" s="116" t="s">
        <v>99</v>
      </c>
      <c r="J138" s="684" t="s">
        <v>98</v>
      </c>
      <c r="K138" s="684" t="s">
        <v>98</v>
      </c>
      <c r="L138" s="4"/>
      <c r="M138" s="4"/>
      <c r="N138" s="4"/>
      <c r="O138" s="4"/>
      <c r="P138" s="4"/>
    </row>
    <row r="139" spans="2:16" x14ac:dyDescent="0.2">
      <c r="B139" s="272"/>
      <c r="C139" s="275"/>
      <c r="D139" s="274"/>
      <c r="E139" s="274"/>
      <c r="H139" s="116" t="s">
        <v>101</v>
      </c>
      <c r="J139" s="684" t="s">
        <v>99</v>
      </c>
      <c r="K139" s="684" t="s">
        <v>99</v>
      </c>
      <c r="L139" s="4"/>
      <c r="M139" s="4"/>
      <c r="N139" s="4"/>
      <c r="O139" s="4"/>
      <c r="P139" s="4"/>
    </row>
    <row r="140" spans="2:16" x14ac:dyDescent="0.2">
      <c r="B140" s="272"/>
      <c r="C140" s="275"/>
      <c r="D140" s="274"/>
      <c r="E140" s="274"/>
      <c r="H140" s="116" t="s">
        <v>94</v>
      </c>
      <c r="J140" s="684" t="s">
        <v>100</v>
      </c>
      <c r="K140" s="684" t="s">
        <v>100</v>
      </c>
      <c r="L140" s="4"/>
      <c r="M140" s="4"/>
      <c r="N140" s="4"/>
      <c r="O140" s="4"/>
      <c r="P140" s="4"/>
    </row>
    <row r="141" spans="2:16" x14ac:dyDescent="0.2">
      <c r="B141" s="272"/>
      <c r="C141" s="275"/>
      <c r="D141" s="274"/>
      <c r="E141" s="274"/>
      <c r="H141" s="116" t="s">
        <v>95</v>
      </c>
      <c r="J141" s="684" t="s">
        <v>101</v>
      </c>
      <c r="K141" s="684" t="s">
        <v>101</v>
      </c>
      <c r="L141" s="4"/>
      <c r="M141" s="4"/>
      <c r="N141" s="4"/>
      <c r="O141" s="4"/>
      <c r="P141" s="4"/>
    </row>
    <row r="142" spans="2:16" x14ac:dyDescent="0.2">
      <c r="B142" s="272"/>
      <c r="C142" s="275"/>
      <c r="D142" s="274"/>
      <c r="E142" s="274"/>
      <c r="H142" s="116" t="s">
        <v>102</v>
      </c>
      <c r="J142" s="683" t="s">
        <v>102</v>
      </c>
      <c r="K142" s="683" t="s">
        <v>102</v>
      </c>
      <c r="L142" s="4"/>
      <c r="M142" s="4"/>
      <c r="N142" s="4"/>
      <c r="O142" s="4"/>
      <c r="P142" s="4"/>
    </row>
    <row r="143" spans="2:16" x14ac:dyDescent="0.2">
      <c r="B143" s="18"/>
      <c r="C143" s="275"/>
      <c r="D143" s="276"/>
      <c r="E143" s="18"/>
      <c r="H143" s="116" t="s">
        <v>103</v>
      </c>
      <c r="J143" s="684" t="s">
        <v>103</v>
      </c>
      <c r="K143" s="684" t="s">
        <v>103</v>
      </c>
      <c r="L143" s="5"/>
      <c r="M143" s="5"/>
      <c r="N143" s="5"/>
      <c r="O143" s="5"/>
      <c r="P143" s="5"/>
    </row>
    <row r="144" spans="2:16" x14ac:dyDescent="0.2">
      <c r="B144" s="272"/>
      <c r="C144" s="275"/>
      <c r="D144" s="274"/>
      <c r="E144" s="274"/>
      <c r="H144" s="116" t="s">
        <v>104</v>
      </c>
      <c r="J144" s="683" t="s">
        <v>104</v>
      </c>
      <c r="K144" s="683" t="s">
        <v>104</v>
      </c>
      <c r="L144" s="4"/>
      <c r="M144" s="4"/>
      <c r="N144" s="4"/>
      <c r="O144" s="4"/>
      <c r="P144" s="4"/>
    </row>
    <row r="145" spans="2:16" x14ac:dyDescent="0.2">
      <c r="B145" s="272"/>
      <c r="C145" s="275"/>
      <c r="D145" s="274"/>
      <c r="E145" s="274"/>
      <c r="H145" s="116" t="s">
        <v>105</v>
      </c>
      <c r="J145" s="683" t="s">
        <v>105</v>
      </c>
      <c r="K145" s="683" t="s">
        <v>105</v>
      </c>
      <c r="L145" s="4"/>
      <c r="M145" s="4"/>
      <c r="N145" s="4"/>
      <c r="O145" s="4"/>
      <c r="P145" s="4"/>
    </row>
    <row r="146" spans="2:16" x14ac:dyDescent="0.2">
      <c r="B146" s="18"/>
      <c r="C146" s="275"/>
      <c r="D146" s="276"/>
      <c r="E146" s="18"/>
      <c r="H146" s="116" t="s">
        <v>106</v>
      </c>
      <c r="J146" s="683" t="s">
        <v>106</v>
      </c>
      <c r="K146" s="683" t="s">
        <v>106</v>
      </c>
      <c r="L146" s="4"/>
      <c r="M146" s="4"/>
      <c r="N146" s="4"/>
      <c r="O146" s="4"/>
      <c r="P146" s="4"/>
    </row>
    <row r="147" spans="2:16" x14ac:dyDescent="0.2">
      <c r="B147" s="272"/>
      <c r="C147" s="275"/>
      <c r="D147" s="274"/>
      <c r="E147" s="274"/>
      <c r="H147" s="116" t="s">
        <v>107</v>
      </c>
      <c r="J147" s="683" t="s">
        <v>107</v>
      </c>
      <c r="K147" s="683" t="s">
        <v>107</v>
      </c>
      <c r="L147" s="4"/>
      <c r="M147" s="4"/>
      <c r="N147" s="4"/>
      <c r="O147" s="4"/>
      <c r="P147" s="4"/>
    </row>
    <row r="148" spans="2:16" x14ac:dyDescent="0.2">
      <c r="B148" s="272"/>
      <c r="C148" s="275"/>
      <c r="D148" s="274"/>
      <c r="E148" s="274"/>
      <c r="H148" s="116" t="s">
        <v>108</v>
      </c>
      <c r="J148" s="683" t="s">
        <v>108</v>
      </c>
      <c r="K148" s="683" t="s">
        <v>108</v>
      </c>
      <c r="L148" s="4"/>
      <c r="M148" s="4"/>
      <c r="N148" s="4"/>
      <c r="O148" s="4"/>
      <c r="P148" s="4"/>
    </row>
    <row r="149" spans="2:16" x14ac:dyDescent="0.2">
      <c r="B149" s="18"/>
      <c r="C149" s="275"/>
      <c r="D149" s="276"/>
      <c r="E149" s="18"/>
      <c r="H149" s="116" t="s">
        <v>109</v>
      </c>
      <c r="J149" s="683" t="s">
        <v>109</v>
      </c>
      <c r="K149" s="683" t="s">
        <v>109</v>
      </c>
      <c r="L149" s="4"/>
      <c r="M149" s="4"/>
      <c r="N149" s="4"/>
      <c r="O149" s="4"/>
      <c r="P149" s="4"/>
    </row>
    <row r="150" spans="2:16" x14ac:dyDescent="0.2">
      <c r="B150" s="272"/>
      <c r="C150" s="275"/>
      <c r="D150" s="274"/>
      <c r="E150" s="274"/>
      <c r="H150" s="116" t="s">
        <v>110</v>
      </c>
      <c r="J150" s="683" t="s">
        <v>110</v>
      </c>
      <c r="K150" s="683" t="s">
        <v>110</v>
      </c>
      <c r="L150" s="4"/>
      <c r="M150" s="4"/>
      <c r="N150" s="4"/>
      <c r="O150" s="4"/>
      <c r="P150" s="4"/>
    </row>
    <row r="151" spans="2:16" x14ac:dyDescent="0.2">
      <c r="B151" s="272"/>
      <c r="C151" s="275"/>
      <c r="D151" s="274"/>
      <c r="E151" s="274"/>
      <c r="H151" s="116" t="s">
        <v>111</v>
      </c>
      <c r="J151" s="683" t="s">
        <v>111</v>
      </c>
      <c r="K151" s="683" t="s">
        <v>111</v>
      </c>
      <c r="L151" s="4"/>
      <c r="M151" s="4"/>
      <c r="N151" s="4"/>
      <c r="O151" s="4"/>
      <c r="P151" s="4"/>
    </row>
    <row r="152" spans="2:16" x14ac:dyDescent="0.2">
      <c r="B152" s="18"/>
      <c r="C152" s="275"/>
      <c r="D152" s="276"/>
      <c r="E152" s="18"/>
      <c r="H152" s="116" t="s">
        <v>113</v>
      </c>
      <c r="J152" s="683" t="s">
        <v>112</v>
      </c>
      <c r="K152" s="683" t="s">
        <v>112</v>
      </c>
      <c r="L152" s="4"/>
      <c r="M152" s="4"/>
      <c r="N152" s="4"/>
      <c r="O152" s="4"/>
      <c r="P152" s="4"/>
    </row>
    <row r="153" spans="2:16" x14ac:dyDescent="0.2">
      <c r="B153" s="18"/>
      <c r="C153" s="275"/>
      <c r="D153" s="276"/>
      <c r="E153" s="18"/>
      <c r="H153" s="116" t="s">
        <v>112</v>
      </c>
      <c r="J153" s="683" t="s">
        <v>113</v>
      </c>
      <c r="K153" s="683" t="s">
        <v>113</v>
      </c>
      <c r="L153" s="4"/>
      <c r="M153" s="4"/>
      <c r="N153" s="4"/>
      <c r="O153" s="4"/>
      <c r="P153" s="4"/>
    </row>
    <row r="154" spans="2:16" x14ac:dyDescent="0.2">
      <c r="B154" s="272"/>
      <c r="C154" s="275"/>
      <c r="D154" s="274"/>
      <c r="E154" s="274"/>
      <c r="H154" s="116" t="s">
        <v>114</v>
      </c>
      <c r="J154" s="683" t="s">
        <v>114</v>
      </c>
      <c r="K154" s="683" t="s">
        <v>114</v>
      </c>
      <c r="L154" s="4"/>
      <c r="M154" s="4"/>
      <c r="N154" s="4"/>
      <c r="O154" s="4"/>
      <c r="P154" s="4"/>
    </row>
    <row r="155" spans="2:16" x14ac:dyDescent="0.2">
      <c r="B155" s="18"/>
      <c r="C155" s="275"/>
      <c r="D155" s="276"/>
      <c r="E155" s="18"/>
      <c r="H155" s="116" t="s">
        <v>116</v>
      </c>
      <c r="J155" s="683" t="s">
        <v>115</v>
      </c>
      <c r="K155" s="683" t="s">
        <v>115</v>
      </c>
      <c r="L155" s="4"/>
      <c r="M155" s="4"/>
      <c r="N155" s="4"/>
      <c r="O155" s="4"/>
      <c r="P155" s="4"/>
    </row>
    <row r="156" spans="2:16" x14ac:dyDescent="0.2">
      <c r="B156" s="272"/>
      <c r="C156" s="275"/>
      <c r="D156" s="274"/>
      <c r="E156" s="274"/>
      <c r="H156" s="116" t="s">
        <v>115</v>
      </c>
      <c r="J156" s="683" t="s">
        <v>116</v>
      </c>
      <c r="K156" s="683" t="s">
        <v>116</v>
      </c>
      <c r="L156" s="4"/>
      <c r="M156" s="4"/>
      <c r="N156" s="4"/>
      <c r="O156" s="4"/>
      <c r="P156" s="4"/>
    </row>
    <row r="157" spans="2:16" x14ac:dyDescent="0.2">
      <c r="B157" s="272"/>
      <c r="C157" s="275"/>
      <c r="D157" s="274"/>
      <c r="E157" s="274"/>
      <c r="H157" s="116" t="s">
        <v>117</v>
      </c>
      <c r="J157" s="685" t="s">
        <v>117</v>
      </c>
      <c r="K157" s="685" t="s">
        <v>117</v>
      </c>
      <c r="L157" s="4"/>
      <c r="M157" s="4"/>
      <c r="N157" s="4"/>
      <c r="O157" s="4"/>
      <c r="P157" s="4"/>
    </row>
    <row r="158" spans="2:16" x14ac:dyDescent="0.2">
      <c r="B158" s="272"/>
      <c r="C158" s="275"/>
      <c r="D158" s="274"/>
      <c r="E158" s="274"/>
    </row>
    <row r="159" spans="2:16" x14ac:dyDescent="0.2">
      <c r="B159" s="272"/>
      <c r="C159" s="275"/>
      <c r="D159" s="274"/>
      <c r="E159" s="274"/>
      <c r="H159" s="280" t="s">
        <v>516</v>
      </c>
    </row>
    <row r="160" spans="2:16" x14ac:dyDescent="0.2">
      <c r="B160" s="277"/>
      <c r="C160" s="275"/>
      <c r="D160" s="274"/>
      <c r="E160" s="274"/>
      <c r="H160" s="280" t="s">
        <v>59</v>
      </c>
    </row>
    <row r="161" spans="2:8" x14ac:dyDescent="0.2">
      <c r="B161" s="272"/>
      <c r="C161" s="275"/>
      <c r="D161" s="274"/>
      <c r="E161" s="274"/>
      <c r="H161" s="116" t="s">
        <v>65</v>
      </c>
    </row>
    <row r="162" spans="2:8" x14ac:dyDescent="0.2">
      <c r="B162" s="272"/>
      <c r="C162" s="275"/>
      <c r="D162" s="274"/>
      <c r="E162" s="274"/>
      <c r="H162" s="280" t="s">
        <v>62</v>
      </c>
    </row>
    <row r="163" spans="2:8" x14ac:dyDescent="0.2">
      <c r="B163" s="272"/>
      <c r="C163" s="275"/>
      <c r="D163" s="274"/>
      <c r="E163" s="274"/>
      <c r="H163" s="190" t="s">
        <v>64</v>
      </c>
    </row>
    <row r="164" spans="2:8" x14ac:dyDescent="0.2">
      <c r="B164" s="272"/>
      <c r="C164" s="275"/>
      <c r="D164" s="274"/>
      <c r="E164" s="274"/>
    </row>
    <row r="165" spans="2:8" x14ac:dyDescent="0.2">
      <c r="B165" s="272"/>
      <c r="C165" s="275"/>
      <c r="D165" s="274"/>
      <c r="E165" s="274"/>
    </row>
    <row r="166" spans="2:8" x14ac:dyDescent="0.2">
      <c r="B166" s="272"/>
      <c r="C166" s="275"/>
      <c r="D166" s="274"/>
      <c r="E166" s="274"/>
    </row>
    <row r="167" spans="2:8" x14ac:dyDescent="0.2">
      <c r="B167" s="272"/>
      <c r="C167" s="275"/>
      <c r="D167" s="274"/>
      <c r="E167" s="274"/>
    </row>
    <row r="168" spans="2:8" x14ac:dyDescent="0.2">
      <c r="D168" s="112"/>
    </row>
    <row r="171" spans="2:8" x14ac:dyDescent="0.2">
      <c r="H171" s="281" t="s">
        <v>515</v>
      </c>
    </row>
    <row r="172" spans="2:8" x14ac:dyDescent="0.2">
      <c r="H172" s="116" t="s">
        <v>259</v>
      </c>
    </row>
    <row r="173" spans="2:8" x14ac:dyDescent="0.2">
      <c r="H173" s="116" t="s">
        <v>59</v>
      </c>
    </row>
    <row r="174" spans="2:8" x14ac:dyDescent="0.2">
      <c r="H174" s="116" t="s">
        <v>60</v>
      </c>
    </row>
    <row r="175" spans="2:8" x14ac:dyDescent="0.2">
      <c r="H175" s="116" t="s">
        <v>61</v>
      </c>
    </row>
    <row r="176" spans="2:8" x14ac:dyDescent="0.2">
      <c r="H176" s="116" t="s">
        <v>63</v>
      </c>
    </row>
    <row r="177" spans="8:8" x14ac:dyDescent="0.2">
      <c r="H177" s="116" t="s">
        <v>66</v>
      </c>
    </row>
    <row r="178" spans="8:8" x14ac:dyDescent="0.2">
      <c r="H178" s="116" t="s">
        <v>67</v>
      </c>
    </row>
    <row r="179" spans="8:8" x14ac:dyDescent="0.2">
      <c r="H179" s="116" t="s">
        <v>68</v>
      </c>
    </row>
    <row r="181" spans="8:8" x14ac:dyDescent="0.2">
      <c r="H181" s="116"/>
    </row>
  </sheetData>
  <sortState ref="H107:H156">
    <sortCondition ref="H107"/>
  </sortState>
  <hyperlinks>
    <hyperlink ref="C76" r:id="rId1"/>
    <hyperlink ref="B57" r:id="rId2"/>
  </hyperlinks>
  <pageMargins left="0.7" right="0.7" top="0.75" bottom="0.75" header="0.3" footer="0.3"/>
  <pageSetup orientation="landscape" horizontalDpi="4294967293" verticalDpi="0" r:id="rId3"/>
  <customProperties>
    <customPr name="SSCSheetTrackingNo"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D51" sqref="D51:G56"/>
    </sheetView>
  </sheetViews>
  <sheetFormatPr defaultRowHeight="15" x14ac:dyDescent="0.25"/>
  <cols>
    <col min="1" max="1" width="6.140625" style="143" customWidth="1"/>
    <col min="2" max="2" width="10.7109375" style="143" customWidth="1"/>
    <col min="3" max="3" width="14.42578125" style="143" customWidth="1"/>
    <col min="4" max="4" width="14.85546875" style="143" customWidth="1"/>
    <col min="5" max="5" width="13.140625" style="143" customWidth="1"/>
    <col min="6" max="6" width="13.42578125" style="143" customWidth="1"/>
    <col min="7" max="7" width="16.28515625" style="143" customWidth="1"/>
    <col min="8" max="8" width="13.42578125" style="143" customWidth="1"/>
    <col min="9" max="9" width="12.5703125" style="143" customWidth="1"/>
    <col min="10" max="10" width="16.140625" style="143" customWidth="1"/>
    <col min="11" max="11" width="13.42578125" style="143" customWidth="1"/>
    <col min="12" max="12" width="13.28515625" style="143" customWidth="1"/>
    <col min="13" max="13" width="13" style="143" customWidth="1"/>
    <col min="14" max="14" width="14.28515625" style="143" bestFit="1" customWidth="1"/>
    <col min="15" max="15" width="12.5703125" style="143" bestFit="1" customWidth="1"/>
    <col min="16" max="16" width="12.5703125" style="143" customWidth="1"/>
    <col min="17" max="16384" width="9.140625" style="143"/>
  </cols>
  <sheetData>
    <row r="1" spans="1:16" ht="36" x14ac:dyDescent="0.55000000000000004">
      <c r="A1" s="176" t="s">
        <v>148</v>
      </c>
    </row>
    <row r="2" spans="1:16" ht="18.75" x14ac:dyDescent="0.3">
      <c r="A2" s="175"/>
    </row>
    <row r="3" spans="1:16" ht="15.75" thickBot="1" x14ac:dyDescent="0.3">
      <c r="L3" s="174"/>
      <c r="M3" s="167"/>
      <c r="N3" s="167"/>
      <c r="O3" s="167"/>
    </row>
    <row r="4" spans="1:16" ht="15.75" thickBot="1" x14ac:dyDescent="0.3">
      <c r="B4" s="173" t="s">
        <v>147</v>
      </c>
      <c r="C4" s="172" t="s">
        <v>146</v>
      </c>
      <c r="D4" s="171"/>
      <c r="E4" s="170">
        <v>0.01</v>
      </c>
      <c r="F4" s="169" t="s">
        <v>144</v>
      </c>
      <c r="G4" s="172" t="s">
        <v>145</v>
      </c>
      <c r="H4" s="171"/>
      <c r="I4" s="170">
        <v>0.01</v>
      </c>
      <c r="J4" s="169" t="s">
        <v>144</v>
      </c>
      <c r="L4" s="167"/>
      <c r="M4" s="167"/>
      <c r="N4" s="167"/>
      <c r="O4" s="167"/>
    </row>
    <row r="5" spans="1:16" x14ac:dyDescent="0.25">
      <c r="C5" s="143" t="s">
        <v>143</v>
      </c>
      <c r="L5" s="168"/>
      <c r="M5" s="167"/>
      <c r="N5" s="167"/>
      <c r="O5" s="167"/>
      <c r="P5" s="167"/>
    </row>
    <row r="6" spans="1:16" ht="15.75" thickBot="1" x14ac:dyDescent="0.3">
      <c r="L6" s="168"/>
      <c r="M6" s="167"/>
      <c r="N6" s="167"/>
    </row>
    <row r="7" spans="1:16" ht="15.75" thickBot="1" x14ac:dyDescent="0.3">
      <c r="B7" s="805" t="s">
        <v>149</v>
      </c>
      <c r="C7" s="806"/>
      <c r="D7" s="807"/>
      <c r="E7" s="805" t="s">
        <v>1</v>
      </c>
      <c r="F7" s="806"/>
      <c r="G7" s="807"/>
      <c r="H7" s="805" t="s">
        <v>3</v>
      </c>
      <c r="I7" s="806"/>
      <c r="J7" s="807"/>
      <c r="K7" s="805" t="s">
        <v>4</v>
      </c>
      <c r="L7" s="806"/>
      <c r="M7" s="807"/>
      <c r="N7" s="805" t="s">
        <v>5</v>
      </c>
      <c r="O7" s="806"/>
      <c r="P7" s="807"/>
    </row>
    <row r="8" spans="1:16" ht="30" x14ac:dyDescent="0.25">
      <c r="A8" s="143" t="s">
        <v>56</v>
      </c>
      <c r="B8" s="166" t="s">
        <v>142</v>
      </c>
      <c r="C8" s="165" t="s">
        <v>137</v>
      </c>
      <c r="D8" s="164" t="s">
        <v>141</v>
      </c>
      <c r="E8" s="166" t="s">
        <v>142</v>
      </c>
      <c r="F8" s="165" t="s">
        <v>137</v>
      </c>
      <c r="G8" s="164" t="s">
        <v>141</v>
      </c>
      <c r="H8" s="166" t="s">
        <v>142</v>
      </c>
      <c r="I8" s="165" t="s">
        <v>137</v>
      </c>
      <c r="J8" s="164" t="s">
        <v>141</v>
      </c>
      <c r="K8" s="166" t="s">
        <v>142</v>
      </c>
      <c r="L8" s="165" t="s">
        <v>137</v>
      </c>
      <c r="M8" s="164" t="s">
        <v>141</v>
      </c>
      <c r="N8" s="166" t="s">
        <v>142</v>
      </c>
      <c r="O8" s="165" t="s">
        <v>137</v>
      </c>
      <c r="P8" s="164" t="s">
        <v>141</v>
      </c>
    </row>
    <row r="9" spans="1:16" x14ac:dyDescent="0.25">
      <c r="A9" s="143">
        <v>0</v>
      </c>
      <c r="B9" s="161">
        <v>0</v>
      </c>
      <c r="C9" s="163"/>
      <c r="D9" s="162"/>
      <c r="E9" s="161">
        <f>+'CHP Payback'!C30</f>
        <v>2553300</v>
      </c>
      <c r="F9" s="163"/>
      <c r="G9" s="162"/>
      <c r="H9" s="161">
        <f>+'CHP Payback'!D30</f>
        <v>2250000</v>
      </c>
      <c r="I9" s="163"/>
      <c r="J9" s="162"/>
      <c r="K9" s="161">
        <f>+'CHP Payback'!E30</f>
        <v>2952900</v>
      </c>
      <c r="L9" s="151"/>
      <c r="M9" s="160"/>
      <c r="N9" s="282">
        <f>+'CHP Payback'!F30</f>
        <v>3220000</v>
      </c>
      <c r="O9" s="151"/>
      <c r="P9" s="160"/>
    </row>
    <row r="10" spans="1:16" x14ac:dyDescent="0.25">
      <c r="A10" s="143">
        <v>1</v>
      </c>
      <c r="B10" s="157">
        <v>0</v>
      </c>
      <c r="C10" s="177">
        <f>+'CHP Payback'!C12*'CHP Payback'!C10*'CHP Payback'!F10+'CHP Payback'!C10*'CHP Payback'!F12</f>
        <v>994000</v>
      </c>
      <c r="D10" s="158">
        <v>0</v>
      </c>
      <c r="E10" s="159">
        <v>0</v>
      </c>
      <c r="F10" s="178">
        <f>+'CHP Payback'!C36-'CHP Payback'!C38</f>
        <v>234521.55450236957</v>
      </c>
      <c r="G10" s="158">
        <f>+'CHP Payback'!C31</f>
        <v>172200</v>
      </c>
      <c r="H10" s="159">
        <v>0</v>
      </c>
      <c r="I10" s="178">
        <f>+'CHP Payback'!D36-'CHP Payback'!D38</f>
        <v>361438.52105263167</v>
      </c>
      <c r="J10" s="158">
        <f>+'CHP Payback'!D31</f>
        <v>98400</v>
      </c>
      <c r="K10" s="159">
        <v>0</v>
      </c>
      <c r="L10" s="178">
        <f>+'CHP Payback'!E36-'CHP Payback'!E38</f>
        <v>359743.35653753026</v>
      </c>
      <c r="M10" s="158">
        <f>+'CHP Payback'!E31</f>
        <v>103320</v>
      </c>
      <c r="N10" s="157">
        <v>0</v>
      </c>
      <c r="O10" s="283">
        <f>+'CHP Payback'!F36-'CHP Payback'!F38</f>
        <v>212216.00000000003</v>
      </c>
      <c r="P10" s="284">
        <f>+'CHP Payback'!F31</f>
        <v>328000</v>
      </c>
    </row>
    <row r="11" spans="1:16" x14ac:dyDescent="0.25">
      <c r="A11" s="143">
        <v>2</v>
      </c>
      <c r="B11" s="157">
        <v>0</v>
      </c>
      <c r="C11" s="150">
        <f t="shared" ref="C11:C29" si="0">+C10*(1+$E$4)</f>
        <v>1003940</v>
      </c>
      <c r="D11" s="156">
        <f t="shared" ref="D11:D29" si="1">+D10*(1+$I$4)</f>
        <v>0</v>
      </c>
      <c r="E11" s="157">
        <v>0</v>
      </c>
      <c r="F11" s="150">
        <f t="shared" ref="F11:F29" si="2">+F10*(1+$E$4)</f>
        <v>236866.77004739328</v>
      </c>
      <c r="G11" s="156">
        <f t="shared" ref="G11:G29" si="3">+G10*(1+$I$4)</f>
        <v>173922</v>
      </c>
      <c r="H11" s="157">
        <v>0</v>
      </c>
      <c r="I11" s="150">
        <f t="shared" ref="I11:I29" si="4">+I10*(1+$E$4)</f>
        <v>365052.90626315796</v>
      </c>
      <c r="J11" s="156">
        <f t="shared" ref="J11:J29" si="5">+J10*(1+$I$4)</f>
        <v>99384</v>
      </c>
      <c r="K11" s="157">
        <v>0</v>
      </c>
      <c r="L11" s="150">
        <f t="shared" ref="L11:L29" si="6">+L10*(1+$E$4)</f>
        <v>363340.79010290554</v>
      </c>
      <c r="M11" s="156">
        <f t="shared" ref="M11:M29" si="7">+M10*(1+$I$4)</f>
        <v>104353.2</v>
      </c>
      <c r="N11" s="157">
        <v>0</v>
      </c>
      <c r="O11" s="150">
        <f t="shared" ref="O11:O29" si="8">+O10*(1+$E$4)</f>
        <v>214338.16000000003</v>
      </c>
      <c r="P11" s="156">
        <f t="shared" ref="P11:P29" si="9">+P10*(1+$I$4)</f>
        <v>331280</v>
      </c>
    </row>
    <row r="12" spans="1:16" x14ac:dyDescent="0.25">
      <c r="A12" s="143">
        <v>3</v>
      </c>
      <c r="B12" s="157">
        <v>0</v>
      </c>
      <c r="C12" s="150">
        <f t="shared" si="0"/>
        <v>1013979.4</v>
      </c>
      <c r="D12" s="156">
        <f t="shared" si="1"/>
        <v>0</v>
      </c>
      <c r="E12" s="157">
        <v>0</v>
      </c>
      <c r="F12" s="150">
        <f t="shared" si="2"/>
        <v>239235.43774786722</v>
      </c>
      <c r="G12" s="156">
        <f t="shared" si="3"/>
        <v>175661.22</v>
      </c>
      <c r="H12" s="157">
        <v>0</v>
      </c>
      <c r="I12" s="150">
        <f t="shared" si="4"/>
        <v>368703.43532578956</v>
      </c>
      <c r="J12" s="156">
        <f t="shared" si="5"/>
        <v>100377.84</v>
      </c>
      <c r="K12" s="157">
        <v>0</v>
      </c>
      <c r="L12" s="150">
        <f t="shared" si="6"/>
        <v>366974.19800393458</v>
      </c>
      <c r="M12" s="156">
        <f t="shared" si="7"/>
        <v>105396.732</v>
      </c>
      <c r="N12" s="157">
        <v>0</v>
      </c>
      <c r="O12" s="150">
        <f t="shared" si="8"/>
        <v>216481.54160000003</v>
      </c>
      <c r="P12" s="156">
        <f t="shared" si="9"/>
        <v>334592.8</v>
      </c>
    </row>
    <row r="13" spans="1:16" x14ac:dyDescent="0.25">
      <c r="A13" s="143">
        <v>4</v>
      </c>
      <c r="B13" s="157">
        <v>0</v>
      </c>
      <c r="C13" s="150">
        <f t="shared" si="0"/>
        <v>1024119.194</v>
      </c>
      <c r="D13" s="156">
        <f t="shared" si="1"/>
        <v>0</v>
      </c>
      <c r="E13" s="157">
        <v>0</v>
      </c>
      <c r="F13" s="150">
        <f t="shared" si="2"/>
        <v>241627.79212534591</v>
      </c>
      <c r="G13" s="156">
        <f t="shared" si="3"/>
        <v>177417.8322</v>
      </c>
      <c r="H13" s="157">
        <v>0</v>
      </c>
      <c r="I13" s="150">
        <f t="shared" si="4"/>
        <v>372390.46967904747</v>
      </c>
      <c r="J13" s="156">
        <f t="shared" si="5"/>
        <v>101381.61839999999</v>
      </c>
      <c r="K13" s="157">
        <v>0</v>
      </c>
      <c r="L13" s="150">
        <f t="shared" si="6"/>
        <v>370643.93998397392</v>
      </c>
      <c r="M13" s="156">
        <f t="shared" si="7"/>
        <v>106450.69932</v>
      </c>
      <c r="N13" s="157">
        <v>0</v>
      </c>
      <c r="O13" s="150">
        <f t="shared" si="8"/>
        <v>218646.35701600002</v>
      </c>
      <c r="P13" s="156">
        <f t="shared" si="9"/>
        <v>337938.728</v>
      </c>
    </row>
    <row r="14" spans="1:16" x14ac:dyDescent="0.25">
      <c r="A14" s="143">
        <v>5</v>
      </c>
      <c r="B14" s="157">
        <v>0</v>
      </c>
      <c r="C14" s="150">
        <f t="shared" si="0"/>
        <v>1034360.3859400001</v>
      </c>
      <c r="D14" s="156">
        <f t="shared" si="1"/>
        <v>0</v>
      </c>
      <c r="E14" s="157">
        <v>0</v>
      </c>
      <c r="F14" s="150">
        <f t="shared" si="2"/>
        <v>244044.07004659937</v>
      </c>
      <c r="G14" s="156">
        <f t="shared" si="3"/>
        <v>179192.010522</v>
      </c>
      <c r="H14" s="157">
        <v>0</v>
      </c>
      <c r="I14" s="150">
        <f t="shared" si="4"/>
        <v>376114.37437583797</v>
      </c>
      <c r="J14" s="156">
        <f t="shared" si="5"/>
        <v>102395.43458399999</v>
      </c>
      <c r="K14" s="157">
        <v>0</v>
      </c>
      <c r="L14" s="150">
        <f t="shared" si="6"/>
        <v>374350.37938381365</v>
      </c>
      <c r="M14" s="156">
        <f t="shared" si="7"/>
        <v>107515.2063132</v>
      </c>
      <c r="N14" s="157">
        <v>0</v>
      </c>
      <c r="O14" s="150">
        <f t="shared" si="8"/>
        <v>220832.82058616003</v>
      </c>
      <c r="P14" s="156">
        <f t="shared" si="9"/>
        <v>341318.11528000003</v>
      </c>
    </row>
    <row r="15" spans="1:16" x14ac:dyDescent="0.25">
      <c r="A15" s="143">
        <v>6</v>
      </c>
      <c r="B15" s="157">
        <v>0</v>
      </c>
      <c r="C15" s="150">
        <f t="shared" si="0"/>
        <v>1044703.9897994001</v>
      </c>
      <c r="D15" s="156">
        <f t="shared" si="1"/>
        <v>0</v>
      </c>
      <c r="E15" s="157">
        <v>0</v>
      </c>
      <c r="F15" s="150">
        <f t="shared" si="2"/>
        <v>246484.51074706536</v>
      </c>
      <c r="G15" s="156">
        <f t="shared" si="3"/>
        <v>180983.93062721999</v>
      </c>
      <c r="H15" s="157">
        <v>0</v>
      </c>
      <c r="I15" s="150">
        <f t="shared" si="4"/>
        <v>379875.51811959635</v>
      </c>
      <c r="J15" s="156">
        <f t="shared" si="5"/>
        <v>103419.38892983999</v>
      </c>
      <c r="K15" s="157">
        <v>0</v>
      </c>
      <c r="L15" s="150">
        <f t="shared" si="6"/>
        <v>378093.88317765179</v>
      </c>
      <c r="M15" s="156">
        <f t="shared" si="7"/>
        <v>108590.35837633201</v>
      </c>
      <c r="N15" s="157">
        <v>0</v>
      </c>
      <c r="O15" s="150">
        <f t="shared" si="8"/>
        <v>223041.14879202162</v>
      </c>
      <c r="P15" s="156">
        <f t="shared" si="9"/>
        <v>344731.29643280001</v>
      </c>
    </row>
    <row r="16" spans="1:16" x14ac:dyDescent="0.25">
      <c r="A16" s="143">
        <v>7</v>
      </c>
      <c r="B16" s="157">
        <v>0</v>
      </c>
      <c r="C16" s="150">
        <f t="shared" si="0"/>
        <v>1055151.029697394</v>
      </c>
      <c r="D16" s="156">
        <f t="shared" si="1"/>
        <v>0</v>
      </c>
      <c r="E16" s="157">
        <v>0</v>
      </c>
      <c r="F16" s="150">
        <f t="shared" si="2"/>
        <v>248949.35585453603</v>
      </c>
      <c r="G16" s="156">
        <f t="shared" si="3"/>
        <v>182793.76993349218</v>
      </c>
      <c r="H16" s="157">
        <v>0</v>
      </c>
      <c r="I16" s="150">
        <f t="shared" si="4"/>
        <v>383674.27330079232</v>
      </c>
      <c r="J16" s="156">
        <f t="shared" si="5"/>
        <v>104453.58281913839</v>
      </c>
      <c r="K16" s="157">
        <v>0</v>
      </c>
      <c r="L16" s="150">
        <f t="shared" si="6"/>
        <v>381874.82200942829</v>
      </c>
      <c r="M16" s="156">
        <f t="shared" si="7"/>
        <v>109676.26196009533</v>
      </c>
      <c r="N16" s="157">
        <v>0</v>
      </c>
      <c r="O16" s="150">
        <f t="shared" si="8"/>
        <v>225271.56027994183</v>
      </c>
      <c r="P16" s="156">
        <f t="shared" si="9"/>
        <v>348178.60939712799</v>
      </c>
    </row>
    <row r="17" spans="1:17" x14ac:dyDescent="0.25">
      <c r="A17" s="143">
        <v>8</v>
      </c>
      <c r="B17" s="157">
        <v>0</v>
      </c>
      <c r="C17" s="150">
        <f t="shared" si="0"/>
        <v>1065702.5399943679</v>
      </c>
      <c r="D17" s="156">
        <f t="shared" si="1"/>
        <v>0</v>
      </c>
      <c r="E17" s="157">
        <v>0</v>
      </c>
      <c r="F17" s="150">
        <f t="shared" si="2"/>
        <v>251438.84941308139</v>
      </c>
      <c r="G17" s="156">
        <f t="shared" si="3"/>
        <v>184621.70763282711</v>
      </c>
      <c r="H17" s="157">
        <v>0</v>
      </c>
      <c r="I17" s="150">
        <f t="shared" si="4"/>
        <v>387511.01603380026</v>
      </c>
      <c r="J17" s="156">
        <f t="shared" si="5"/>
        <v>105498.11864732977</v>
      </c>
      <c r="K17" s="157">
        <v>0</v>
      </c>
      <c r="L17" s="150">
        <f t="shared" si="6"/>
        <v>385693.57022952259</v>
      </c>
      <c r="M17" s="156">
        <f t="shared" si="7"/>
        <v>110773.02457969628</v>
      </c>
      <c r="N17" s="157">
        <v>0</v>
      </c>
      <c r="O17" s="150">
        <f t="shared" si="8"/>
        <v>227524.27588274123</v>
      </c>
      <c r="P17" s="156">
        <f t="shared" si="9"/>
        <v>351660.39549109928</v>
      </c>
    </row>
    <row r="18" spans="1:17" x14ac:dyDescent="0.25">
      <c r="A18" s="143">
        <v>9</v>
      </c>
      <c r="B18" s="157">
        <v>0</v>
      </c>
      <c r="C18" s="150">
        <f t="shared" si="0"/>
        <v>1076359.5653943114</v>
      </c>
      <c r="D18" s="156">
        <f t="shared" si="1"/>
        <v>0</v>
      </c>
      <c r="E18" s="157">
        <v>0</v>
      </c>
      <c r="F18" s="150">
        <f t="shared" si="2"/>
        <v>253953.2379072122</v>
      </c>
      <c r="G18" s="156">
        <f t="shared" si="3"/>
        <v>186467.92470915537</v>
      </c>
      <c r="H18" s="157">
        <v>0</v>
      </c>
      <c r="I18" s="150">
        <f t="shared" si="4"/>
        <v>391386.12619413825</v>
      </c>
      <c r="J18" s="156">
        <f t="shared" si="5"/>
        <v>106553.09983380308</v>
      </c>
      <c r="K18" s="157">
        <v>0</v>
      </c>
      <c r="L18" s="150">
        <f t="shared" si="6"/>
        <v>389550.50593181781</v>
      </c>
      <c r="M18" s="156">
        <f t="shared" si="7"/>
        <v>111880.75482549325</v>
      </c>
      <c r="N18" s="157">
        <v>0</v>
      </c>
      <c r="O18" s="150">
        <f t="shared" si="8"/>
        <v>229799.51864156863</v>
      </c>
      <c r="P18" s="156">
        <f t="shared" si="9"/>
        <v>355176.99944601028</v>
      </c>
    </row>
    <row r="19" spans="1:17" x14ac:dyDescent="0.25">
      <c r="A19" s="143">
        <v>10</v>
      </c>
      <c r="B19" s="157">
        <v>0</v>
      </c>
      <c r="C19" s="150">
        <f t="shared" si="0"/>
        <v>1087123.1610482545</v>
      </c>
      <c r="D19" s="156">
        <f t="shared" si="1"/>
        <v>0</v>
      </c>
      <c r="E19" s="157">
        <v>0</v>
      </c>
      <c r="F19" s="150">
        <f t="shared" si="2"/>
        <v>256492.77028628433</v>
      </c>
      <c r="G19" s="156">
        <f t="shared" si="3"/>
        <v>188332.60395624692</v>
      </c>
      <c r="H19" s="157">
        <v>0</v>
      </c>
      <c r="I19" s="150">
        <f t="shared" si="4"/>
        <v>395299.98745607963</v>
      </c>
      <c r="J19" s="156">
        <f t="shared" si="5"/>
        <v>107618.63083214111</v>
      </c>
      <c r="K19" s="157">
        <v>0</v>
      </c>
      <c r="L19" s="150">
        <f t="shared" si="6"/>
        <v>393446.01099113602</v>
      </c>
      <c r="M19" s="156">
        <f t="shared" si="7"/>
        <v>112999.56237374818</v>
      </c>
      <c r="N19" s="157">
        <v>0</v>
      </c>
      <c r="O19" s="150">
        <f t="shared" si="8"/>
        <v>232097.51382798431</v>
      </c>
      <c r="P19" s="156">
        <f t="shared" si="9"/>
        <v>358728.76944047038</v>
      </c>
    </row>
    <row r="20" spans="1:17" x14ac:dyDescent="0.25">
      <c r="A20" s="143">
        <v>11</v>
      </c>
      <c r="B20" s="157">
        <v>0</v>
      </c>
      <c r="C20" s="150">
        <f t="shared" si="0"/>
        <v>1097994.392658737</v>
      </c>
      <c r="D20" s="156">
        <f t="shared" si="1"/>
        <v>0</v>
      </c>
      <c r="E20" s="157">
        <v>0</v>
      </c>
      <c r="F20" s="150">
        <f t="shared" si="2"/>
        <v>259057.69798914719</v>
      </c>
      <c r="G20" s="156">
        <f t="shared" si="3"/>
        <v>190215.92999580939</v>
      </c>
      <c r="H20" s="157">
        <v>0</v>
      </c>
      <c r="I20" s="150">
        <f t="shared" si="4"/>
        <v>399252.98733064043</v>
      </c>
      <c r="J20" s="156">
        <f t="shared" si="5"/>
        <v>108694.81714046252</v>
      </c>
      <c r="K20" s="157">
        <v>0</v>
      </c>
      <c r="L20" s="150">
        <f t="shared" si="6"/>
        <v>397380.47110104735</v>
      </c>
      <c r="M20" s="156">
        <f t="shared" si="7"/>
        <v>114129.55799748567</v>
      </c>
      <c r="N20" s="157">
        <v>0</v>
      </c>
      <c r="O20" s="150">
        <f t="shared" si="8"/>
        <v>234418.48896626415</v>
      </c>
      <c r="P20" s="156">
        <f t="shared" si="9"/>
        <v>362316.0571348751</v>
      </c>
    </row>
    <row r="21" spans="1:17" x14ac:dyDescent="0.25">
      <c r="A21" s="143">
        <v>12</v>
      </c>
      <c r="B21" s="157">
        <v>0</v>
      </c>
      <c r="C21" s="150">
        <f t="shared" si="0"/>
        <v>1108974.3365853245</v>
      </c>
      <c r="D21" s="156">
        <f t="shared" si="1"/>
        <v>0</v>
      </c>
      <c r="E21" s="157">
        <v>0</v>
      </c>
      <c r="F21" s="150">
        <f t="shared" si="2"/>
        <v>261648.27496903867</v>
      </c>
      <c r="G21" s="156">
        <f t="shared" si="3"/>
        <v>192118.08929576748</v>
      </c>
      <c r="H21" s="157">
        <v>0</v>
      </c>
      <c r="I21" s="150">
        <f t="shared" si="4"/>
        <v>403245.51720394683</v>
      </c>
      <c r="J21" s="156">
        <f t="shared" si="5"/>
        <v>109781.76531186714</v>
      </c>
      <c r="K21" s="157">
        <v>0</v>
      </c>
      <c r="L21" s="150">
        <f t="shared" si="6"/>
        <v>401354.27581205784</v>
      </c>
      <c r="M21" s="156">
        <f t="shared" si="7"/>
        <v>115270.85357746053</v>
      </c>
      <c r="N21" s="157">
        <v>0</v>
      </c>
      <c r="O21" s="150">
        <f t="shared" si="8"/>
        <v>236762.67385592678</v>
      </c>
      <c r="P21" s="156">
        <f t="shared" si="9"/>
        <v>365939.21770622383</v>
      </c>
    </row>
    <row r="22" spans="1:17" x14ac:dyDescent="0.25">
      <c r="A22" s="143">
        <v>13</v>
      </c>
      <c r="B22" s="157">
        <v>0</v>
      </c>
      <c r="C22" s="150">
        <f t="shared" si="0"/>
        <v>1120064.0799511778</v>
      </c>
      <c r="D22" s="156">
        <f t="shared" si="1"/>
        <v>0</v>
      </c>
      <c r="E22" s="157">
        <v>0</v>
      </c>
      <c r="F22" s="150">
        <f t="shared" si="2"/>
        <v>264264.75771872909</v>
      </c>
      <c r="G22" s="156">
        <f t="shared" si="3"/>
        <v>194039.27018872515</v>
      </c>
      <c r="H22" s="157">
        <v>0</v>
      </c>
      <c r="I22" s="150">
        <f t="shared" si="4"/>
        <v>407277.97237598628</v>
      </c>
      <c r="J22" s="156">
        <f t="shared" si="5"/>
        <v>110879.58296498582</v>
      </c>
      <c r="K22" s="157">
        <v>0</v>
      </c>
      <c r="L22" s="150">
        <f t="shared" si="6"/>
        <v>405367.81857017841</v>
      </c>
      <c r="M22" s="156">
        <f t="shared" si="7"/>
        <v>116423.56211323514</v>
      </c>
      <c r="N22" s="157">
        <v>0</v>
      </c>
      <c r="O22" s="150">
        <f t="shared" si="8"/>
        <v>239130.30059448606</v>
      </c>
      <c r="P22" s="156">
        <f t="shared" si="9"/>
        <v>369598.60988328606</v>
      </c>
    </row>
    <row r="23" spans="1:17" x14ac:dyDescent="0.25">
      <c r="A23" s="143">
        <v>14</v>
      </c>
      <c r="B23" s="157">
        <v>0</v>
      </c>
      <c r="C23" s="150">
        <f t="shared" si="0"/>
        <v>1131264.7207506895</v>
      </c>
      <c r="D23" s="156">
        <f t="shared" si="1"/>
        <v>0</v>
      </c>
      <c r="E23" s="157">
        <v>0</v>
      </c>
      <c r="F23" s="150">
        <f t="shared" si="2"/>
        <v>266907.40529591637</v>
      </c>
      <c r="G23" s="156">
        <f t="shared" si="3"/>
        <v>195979.66289061241</v>
      </c>
      <c r="H23" s="157">
        <v>0</v>
      </c>
      <c r="I23" s="150">
        <f t="shared" si="4"/>
        <v>411350.75209974614</v>
      </c>
      <c r="J23" s="156">
        <f t="shared" si="5"/>
        <v>111988.37879463568</v>
      </c>
      <c r="K23" s="157">
        <v>0</v>
      </c>
      <c r="L23" s="150">
        <f t="shared" si="6"/>
        <v>409421.49675588019</v>
      </c>
      <c r="M23" s="156">
        <f t="shared" si="7"/>
        <v>117587.79773436749</v>
      </c>
      <c r="N23" s="157">
        <v>0</v>
      </c>
      <c r="O23" s="150">
        <f t="shared" si="8"/>
        <v>241521.60360043091</v>
      </c>
      <c r="P23" s="156">
        <f t="shared" si="9"/>
        <v>373294.59598211892</v>
      </c>
    </row>
    <row r="24" spans="1:17" x14ac:dyDescent="0.25">
      <c r="A24" s="143">
        <v>15</v>
      </c>
      <c r="B24" s="157">
        <v>0</v>
      </c>
      <c r="C24" s="150">
        <f t="shared" si="0"/>
        <v>1142577.3679581964</v>
      </c>
      <c r="D24" s="156">
        <f t="shared" si="1"/>
        <v>0</v>
      </c>
      <c r="E24" s="157">
        <v>0</v>
      </c>
      <c r="F24" s="150">
        <f t="shared" si="2"/>
        <v>269576.47934887552</v>
      </c>
      <c r="G24" s="156">
        <f t="shared" si="3"/>
        <v>197939.45951951854</v>
      </c>
      <c r="H24" s="157">
        <v>0</v>
      </c>
      <c r="I24" s="150">
        <f t="shared" si="4"/>
        <v>415464.25962074363</v>
      </c>
      <c r="J24" s="156">
        <f t="shared" si="5"/>
        <v>113108.26258258203</v>
      </c>
      <c r="K24" s="157">
        <v>0</v>
      </c>
      <c r="L24" s="150">
        <f t="shared" si="6"/>
        <v>413515.71172343899</v>
      </c>
      <c r="M24" s="156">
        <f t="shared" si="7"/>
        <v>118763.67571171116</v>
      </c>
      <c r="N24" s="157">
        <v>0</v>
      </c>
      <c r="O24" s="150">
        <f t="shared" si="8"/>
        <v>243936.81963643522</v>
      </c>
      <c r="P24" s="156">
        <f t="shared" si="9"/>
        <v>377027.54194194009</v>
      </c>
    </row>
    <row r="25" spans="1:17" x14ac:dyDescent="0.25">
      <c r="A25" s="143">
        <v>16</v>
      </c>
      <c r="B25" s="157">
        <v>0</v>
      </c>
      <c r="C25" s="150">
        <f t="shared" si="0"/>
        <v>1154003.1416377784</v>
      </c>
      <c r="D25" s="156">
        <f t="shared" si="1"/>
        <v>0</v>
      </c>
      <c r="E25" s="157">
        <v>0</v>
      </c>
      <c r="F25" s="150">
        <f t="shared" si="2"/>
        <v>272272.2441423643</v>
      </c>
      <c r="G25" s="156">
        <f t="shared" si="3"/>
        <v>199918.85411471373</v>
      </c>
      <c r="H25" s="157">
        <v>0</v>
      </c>
      <c r="I25" s="150">
        <f t="shared" si="4"/>
        <v>419618.90221695107</v>
      </c>
      <c r="J25" s="156">
        <f t="shared" si="5"/>
        <v>114239.34520840785</v>
      </c>
      <c r="K25" s="157">
        <v>0</v>
      </c>
      <c r="L25" s="150">
        <f t="shared" si="6"/>
        <v>417650.86884067336</v>
      </c>
      <c r="M25" s="156">
        <f t="shared" si="7"/>
        <v>119951.31246882827</v>
      </c>
      <c r="N25" s="157">
        <v>0</v>
      </c>
      <c r="O25" s="150">
        <f t="shared" si="8"/>
        <v>246376.18783279957</v>
      </c>
      <c r="P25" s="156">
        <f t="shared" si="9"/>
        <v>380797.81736135948</v>
      </c>
    </row>
    <row r="26" spans="1:17" x14ac:dyDescent="0.25">
      <c r="A26" s="143">
        <v>17</v>
      </c>
      <c r="B26" s="157">
        <v>0</v>
      </c>
      <c r="C26" s="150">
        <f t="shared" si="0"/>
        <v>1165543.1730541561</v>
      </c>
      <c r="D26" s="156">
        <f t="shared" si="1"/>
        <v>0</v>
      </c>
      <c r="E26" s="157">
        <v>0</v>
      </c>
      <c r="F26" s="150">
        <f t="shared" si="2"/>
        <v>274994.96658378793</v>
      </c>
      <c r="G26" s="156">
        <f t="shared" si="3"/>
        <v>201918.04265586086</v>
      </c>
      <c r="H26" s="157">
        <v>0</v>
      </c>
      <c r="I26" s="150">
        <f t="shared" si="4"/>
        <v>423815.09123912058</v>
      </c>
      <c r="J26" s="156">
        <f t="shared" si="5"/>
        <v>115381.73866049193</v>
      </c>
      <c r="K26" s="157">
        <v>0</v>
      </c>
      <c r="L26" s="150">
        <f t="shared" si="6"/>
        <v>421827.37752908008</v>
      </c>
      <c r="M26" s="156">
        <f t="shared" si="7"/>
        <v>121150.82559351655</v>
      </c>
      <c r="N26" s="157">
        <v>0</v>
      </c>
      <c r="O26" s="150">
        <f t="shared" si="8"/>
        <v>248839.94971112756</v>
      </c>
      <c r="P26" s="156">
        <f t="shared" si="9"/>
        <v>384605.79553497309</v>
      </c>
    </row>
    <row r="27" spans="1:17" x14ac:dyDescent="0.25">
      <c r="A27" s="143">
        <v>18</v>
      </c>
      <c r="B27" s="157">
        <v>0</v>
      </c>
      <c r="C27" s="150">
        <f t="shared" si="0"/>
        <v>1177198.6047846978</v>
      </c>
      <c r="D27" s="156">
        <f t="shared" si="1"/>
        <v>0</v>
      </c>
      <c r="E27" s="157">
        <v>0</v>
      </c>
      <c r="F27" s="150">
        <f t="shared" si="2"/>
        <v>277744.91624962579</v>
      </c>
      <c r="G27" s="156">
        <f t="shared" si="3"/>
        <v>203937.22308241946</v>
      </c>
      <c r="H27" s="157">
        <v>0</v>
      </c>
      <c r="I27" s="150">
        <f t="shared" si="4"/>
        <v>428053.24215151177</v>
      </c>
      <c r="J27" s="156">
        <f t="shared" si="5"/>
        <v>116535.55604709685</v>
      </c>
      <c r="K27" s="157">
        <v>0</v>
      </c>
      <c r="L27" s="150">
        <f t="shared" si="6"/>
        <v>426045.6513043709</v>
      </c>
      <c r="M27" s="156">
        <f t="shared" si="7"/>
        <v>122362.33384945172</v>
      </c>
      <c r="N27" s="157">
        <v>0</v>
      </c>
      <c r="O27" s="150">
        <f t="shared" si="8"/>
        <v>251328.34920823883</v>
      </c>
      <c r="P27" s="156">
        <f t="shared" si="9"/>
        <v>388451.85349032283</v>
      </c>
    </row>
    <row r="28" spans="1:17" x14ac:dyDescent="0.25">
      <c r="A28" s="143">
        <v>19</v>
      </c>
      <c r="B28" s="157">
        <v>0</v>
      </c>
      <c r="C28" s="150">
        <f t="shared" si="0"/>
        <v>1188970.5908325447</v>
      </c>
      <c r="D28" s="156">
        <f t="shared" si="1"/>
        <v>0</v>
      </c>
      <c r="E28" s="157">
        <v>0</v>
      </c>
      <c r="F28" s="150">
        <f t="shared" si="2"/>
        <v>280522.36541212205</v>
      </c>
      <c r="G28" s="156">
        <f t="shared" si="3"/>
        <v>205976.59531324366</v>
      </c>
      <c r="H28" s="157">
        <v>0</v>
      </c>
      <c r="I28" s="150">
        <f t="shared" si="4"/>
        <v>432333.77457302692</v>
      </c>
      <c r="J28" s="156">
        <f t="shared" si="5"/>
        <v>117700.91160756782</v>
      </c>
      <c r="K28" s="157">
        <v>0</v>
      </c>
      <c r="L28" s="150">
        <f t="shared" si="6"/>
        <v>430306.10781741462</v>
      </c>
      <c r="M28" s="156">
        <f t="shared" si="7"/>
        <v>123585.95718794625</v>
      </c>
      <c r="N28" s="157">
        <v>0</v>
      </c>
      <c r="O28" s="150">
        <f t="shared" si="8"/>
        <v>253841.63270032121</v>
      </c>
      <c r="P28" s="156">
        <f t="shared" si="9"/>
        <v>392336.37202522607</v>
      </c>
    </row>
    <row r="29" spans="1:17" ht="15.75" thickBot="1" x14ac:dyDescent="0.3">
      <c r="A29" s="143">
        <v>20</v>
      </c>
      <c r="B29" s="155">
        <v>0</v>
      </c>
      <c r="C29" s="154">
        <f t="shared" si="0"/>
        <v>1200860.2967408702</v>
      </c>
      <c r="D29" s="153">
        <f t="shared" si="1"/>
        <v>0</v>
      </c>
      <c r="E29" s="155">
        <v>0</v>
      </c>
      <c r="F29" s="154">
        <f t="shared" si="2"/>
        <v>283327.58906624326</v>
      </c>
      <c r="G29" s="153">
        <f t="shared" si="3"/>
        <v>208036.3612663761</v>
      </c>
      <c r="H29" s="155">
        <v>0</v>
      </c>
      <c r="I29" s="154">
        <f t="shared" si="4"/>
        <v>436657.11231875722</v>
      </c>
      <c r="J29" s="153">
        <f t="shared" si="5"/>
        <v>118877.9207236435</v>
      </c>
      <c r="K29" s="155">
        <v>0</v>
      </c>
      <c r="L29" s="154">
        <f t="shared" si="6"/>
        <v>434609.16889558878</v>
      </c>
      <c r="M29" s="153">
        <f t="shared" si="7"/>
        <v>124821.81675982571</v>
      </c>
      <c r="N29" s="155">
        <v>0</v>
      </c>
      <c r="O29" s="154">
        <f t="shared" si="8"/>
        <v>256380.04902732442</v>
      </c>
      <c r="P29" s="153">
        <f t="shared" si="9"/>
        <v>396259.73574547831</v>
      </c>
    </row>
    <row r="30" spans="1:17" x14ac:dyDescent="0.25">
      <c r="B30" s="152">
        <f t="shared" ref="B30:P30" si="10">SUM(B9:B29)</f>
        <v>0</v>
      </c>
      <c r="C30" s="152">
        <f t="shared" si="10"/>
        <v>21886889.970827904</v>
      </c>
      <c r="D30" s="152">
        <f t="shared" si="10"/>
        <v>0</v>
      </c>
      <c r="E30" s="152">
        <f t="shared" si="10"/>
        <v>2553300</v>
      </c>
      <c r="F30" s="152">
        <f t="shared" si="10"/>
        <v>5163931.0454536024</v>
      </c>
      <c r="G30" s="152">
        <f t="shared" si="10"/>
        <v>3791672.4879039889</v>
      </c>
      <c r="H30" s="152">
        <f t="shared" si="10"/>
        <v>2250000</v>
      </c>
      <c r="I30" s="152">
        <f t="shared" si="10"/>
        <v>7958516.2389313029</v>
      </c>
      <c r="J30" s="152">
        <f t="shared" si="10"/>
        <v>2166669.9930879935</v>
      </c>
      <c r="K30" s="152">
        <f t="shared" si="10"/>
        <v>2952900</v>
      </c>
      <c r="L30" s="152">
        <f t="shared" si="10"/>
        <v>7921190.4047014453</v>
      </c>
      <c r="M30" s="152">
        <f t="shared" si="10"/>
        <v>2275003.4927423936</v>
      </c>
      <c r="N30" s="152">
        <f t="shared" si="10"/>
        <v>3220000</v>
      </c>
      <c r="O30" s="152">
        <f t="shared" si="10"/>
        <v>4672784.9517597733</v>
      </c>
      <c r="P30" s="152">
        <f t="shared" si="10"/>
        <v>7222233.3102933122</v>
      </c>
    </row>
    <row r="31" spans="1:17" x14ac:dyDescent="0.25">
      <c r="B31" s="151"/>
      <c r="C31" s="150"/>
      <c r="D31" s="149"/>
      <c r="E31" s="151"/>
      <c r="F31" s="150"/>
      <c r="G31" s="149"/>
      <c r="H31" s="151"/>
      <c r="I31" s="150"/>
      <c r="J31" s="149"/>
      <c r="K31" s="151"/>
      <c r="L31" s="150"/>
      <c r="M31" s="149"/>
    </row>
    <row r="32" spans="1:17" x14ac:dyDescent="0.25">
      <c r="C32" s="148" t="s">
        <v>140</v>
      </c>
      <c r="D32" s="144">
        <f>SUM(D10:D29)+SUM(C10:C29)+SUM(B9:B29)</f>
        <v>21886889.970827904</v>
      </c>
      <c r="E32" s="144"/>
      <c r="F32" s="147" t="s">
        <v>140</v>
      </c>
      <c r="G32" s="144">
        <f>SUM(G10:G29)+SUM(F10:F29)+SUM(E9:E29)</f>
        <v>11508903.53335759</v>
      </c>
      <c r="H32" s="144"/>
      <c r="I32" s="147" t="s">
        <v>140</v>
      </c>
      <c r="J32" s="144">
        <f>SUM(J10:J29)+SUM(I10:I29)+SUM(H9:H29)</f>
        <v>12375186.232019296</v>
      </c>
      <c r="K32" s="144"/>
      <c r="L32" s="147" t="s">
        <v>140</v>
      </c>
      <c r="M32" s="144">
        <f>SUM(M10:M29)+SUM(L10:L29)+SUM(K9:K29)</f>
        <v>13149093.897443838</v>
      </c>
      <c r="O32" s="147" t="s">
        <v>140</v>
      </c>
      <c r="P32" s="144">
        <f>SUM(P10:P29)+SUM(O10:O29)+SUM(N9:N29)</f>
        <v>15115018.262053085</v>
      </c>
      <c r="Q32" s="144"/>
    </row>
    <row r="51" spans="3:7" x14ac:dyDescent="0.25">
      <c r="D51" s="347"/>
      <c r="E51" s="348" t="s">
        <v>139</v>
      </c>
      <c r="F51" s="348" t="s">
        <v>138</v>
      </c>
      <c r="G51" s="349" t="s">
        <v>137</v>
      </c>
    </row>
    <row r="52" spans="3:7" x14ac:dyDescent="0.25">
      <c r="C52" s="146"/>
      <c r="D52" s="350" t="str">
        <f>+B7</f>
        <v>Grid Power</v>
      </c>
      <c r="E52" s="145">
        <f>+B30</f>
        <v>0</v>
      </c>
      <c r="F52" s="351">
        <f>+D30</f>
        <v>0</v>
      </c>
      <c r="G52" s="352">
        <f>+C30</f>
        <v>21886889.970827904</v>
      </c>
    </row>
    <row r="53" spans="3:7" x14ac:dyDescent="0.25">
      <c r="C53" s="146"/>
      <c r="D53" s="350" t="str">
        <f>IF(E9&gt;0,E7,"")</f>
        <v>Reciprocating Engine</v>
      </c>
      <c r="E53" s="145">
        <f>IF(E9&gt;0,E30,"")</f>
        <v>2553300</v>
      </c>
      <c r="F53" s="351">
        <f>IF(E9&gt;0,G30,"")</f>
        <v>3791672.4879039889</v>
      </c>
      <c r="G53" s="352">
        <f>IF(E9&gt;0,F30,"")</f>
        <v>5163931.0454536024</v>
      </c>
    </row>
    <row r="54" spans="3:7" x14ac:dyDescent="0.25">
      <c r="C54" s="146"/>
      <c r="D54" s="350" t="str">
        <f>IF(H9&gt;0,H7,"")</f>
        <v>Micro Turbine</v>
      </c>
      <c r="E54" s="145">
        <f>IF(H9&gt;0,H30,"")</f>
        <v>2250000</v>
      </c>
      <c r="F54" s="351">
        <f>+IF(H9&gt;0,J30,"")</f>
        <v>2166669.9930879935</v>
      </c>
      <c r="G54" s="352">
        <f>IF(H9&gt;0,I30,"")</f>
        <v>7958516.2389313029</v>
      </c>
    </row>
    <row r="55" spans="3:7" x14ac:dyDescent="0.25">
      <c r="C55" s="146"/>
      <c r="D55" s="350" t="str">
        <f>IF(K9&gt;0,K7,"")</f>
        <v>Gas Turbine</v>
      </c>
      <c r="E55" s="145">
        <f>IF(K9&gt;0,K30,"")</f>
        <v>2952900</v>
      </c>
      <c r="F55" s="351">
        <f>IF(K9&gt;0,M30,"")</f>
        <v>2275003.4927423936</v>
      </c>
      <c r="G55" s="352">
        <f>IF(K9&gt;0,L30,"")</f>
        <v>7921190.4047014453</v>
      </c>
    </row>
    <row r="56" spans="3:7" x14ac:dyDescent="0.25">
      <c r="D56" s="353" t="str">
        <f>IF(N9&gt;0,N7,"")</f>
        <v>Fuel Cell</v>
      </c>
      <c r="E56" s="354">
        <f>IF(N9&gt;0,N30,"")</f>
        <v>3220000</v>
      </c>
      <c r="F56" s="355">
        <f>IF(N9&gt;0,P30,"")</f>
        <v>7222233.3102933122</v>
      </c>
      <c r="G56" s="356">
        <f>IF(N9&gt;0,O30,"")</f>
        <v>4672784.9517597733</v>
      </c>
    </row>
  </sheetData>
  <mergeCells count="5">
    <mergeCell ref="B7:D7"/>
    <mergeCell ref="E7:G7"/>
    <mergeCell ref="H7:J7"/>
    <mergeCell ref="K7:M7"/>
    <mergeCell ref="N7:P7"/>
  </mergeCells>
  <pageMargins left="0.7" right="0.7" top="0.75" bottom="0.75" header="0.3" footer="0.3"/>
  <pageSetup orientation="portrait" horizontalDpi="0" verticalDpi="0" r:id="rId1"/>
  <customProperties>
    <customPr name="SSCSheetTrackingNo"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DC328"/>
  <sheetViews>
    <sheetView showGridLines="0" zoomScale="85" zoomScaleNormal="85" zoomScaleSheetLayoutView="100" workbookViewId="0">
      <selection activeCell="E100" sqref="E100"/>
    </sheetView>
  </sheetViews>
  <sheetFormatPr defaultRowHeight="15" x14ac:dyDescent="0.25"/>
  <cols>
    <col min="1" max="1" width="2.85546875" style="410" customWidth="1"/>
    <col min="2" max="2" width="2.7109375" style="410" customWidth="1"/>
    <col min="3" max="4" width="18.7109375" style="410" customWidth="1"/>
    <col min="5" max="5" width="25.140625" style="411" customWidth="1"/>
    <col min="6" max="7" width="11.7109375" style="410" customWidth="1"/>
    <col min="8" max="8" width="2.7109375" style="410" customWidth="1"/>
    <col min="9" max="9" width="11.7109375" style="410" customWidth="1"/>
    <col min="10" max="10" width="2.7109375" style="410" customWidth="1"/>
    <col min="11" max="11" width="11.7109375" style="410" customWidth="1"/>
    <col min="12" max="12" width="2.7109375" style="410" customWidth="1"/>
    <col min="13" max="13" width="11.7109375" style="410" customWidth="1"/>
    <col min="14" max="14" width="2.7109375" style="410" customWidth="1"/>
    <col min="15" max="15" width="11.7109375" style="410" customWidth="1"/>
    <col min="16" max="16" width="2.7109375" style="410" customWidth="1"/>
    <col min="17" max="17" width="11.7109375" style="410" customWidth="1"/>
    <col min="18" max="18" width="2.7109375" style="410" customWidth="1"/>
    <col min="19" max="19" width="9.140625" style="410" customWidth="1"/>
    <col min="20" max="21" width="20.7109375" style="410" customWidth="1"/>
    <col min="22" max="51" width="15.7109375" style="410" customWidth="1"/>
    <col min="52" max="52" width="9.140625" style="410" customWidth="1"/>
    <col min="53" max="53" width="21.28515625" style="412" customWidth="1"/>
    <col min="54" max="57" width="23.140625" style="412" customWidth="1"/>
    <col min="58" max="58" width="10.7109375" style="412" customWidth="1"/>
    <col min="59" max="59" width="9.140625" style="410" customWidth="1"/>
    <col min="60" max="60" width="22.7109375" style="412" customWidth="1"/>
    <col min="61" max="62" width="12.28515625" style="412" customWidth="1"/>
    <col min="63" max="63" width="13.42578125" style="412" customWidth="1"/>
    <col min="64" max="64" width="13.7109375" style="412" customWidth="1"/>
    <col min="65" max="65" width="18.85546875" style="412" customWidth="1"/>
    <col min="66" max="66" width="34.5703125" style="412" customWidth="1"/>
    <col min="67" max="67" width="35" style="412" customWidth="1"/>
    <col min="68" max="68" width="9.140625" style="410" customWidth="1"/>
    <col min="69" max="69" width="22.85546875" style="410" customWidth="1"/>
    <col min="70" max="70" width="32.28515625" style="410" customWidth="1"/>
    <col min="71" max="71" width="32.7109375" style="410" customWidth="1"/>
    <col min="72" max="72" width="33.28515625" style="410" customWidth="1"/>
    <col min="73" max="73" width="39.7109375" style="410" customWidth="1"/>
    <col min="74" max="74" width="14.140625" style="410" customWidth="1"/>
    <col min="75" max="75" width="20.7109375" style="410" customWidth="1"/>
    <col min="76" max="77" width="27.7109375" style="410" customWidth="1"/>
    <col min="78" max="78" width="28" style="410" customWidth="1"/>
    <col min="79" max="79" width="27.7109375" style="410" customWidth="1"/>
    <col min="80" max="80" width="12.5703125" style="410" customWidth="1"/>
    <col min="81" max="81" width="9.140625" style="410" customWidth="1"/>
    <col min="82" max="82" width="36.42578125" style="410" customWidth="1"/>
    <col min="83" max="83" width="9.85546875" style="410" customWidth="1"/>
    <col min="84" max="84" width="26.5703125" style="410" customWidth="1"/>
    <col min="85" max="85" width="19" style="410" customWidth="1"/>
    <col min="86" max="88" width="9.140625" style="410" customWidth="1"/>
    <col min="89" max="89" width="19.85546875" style="410" customWidth="1"/>
    <col min="90" max="91" width="9.140625" style="410" customWidth="1"/>
    <col min="92" max="92" width="13.42578125" style="410" customWidth="1"/>
    <col min="93" max="93" width="4.7109375" style="410" customWidth="1"/>
    <col min="94" max="95" width="37.7109375" style="410" customWidth="1"/>
    <col min="96" max="96" width="4.7109375" style="410" customWidth="1"/>
    <col min="97" max="97" width="40.7109375" style="410" customWidth="1"/>
    <col min="98" max="98" width="9.140625" style="410" customWidth="1"/>
    <col min="99" max="105" width="30.7109375" style="413" customWidth="1"/>
    <col min="106" max="16384" width="9.140625" style="410"/>
  </cols>
  <sheetData>
    <row r="1" spans="2:105" ht="15" customHeight="1" thickBot="1" x14ac:dyDescent="0.3"/>
    <row r="2" spans="2:105" s="414" customFormat="1" ht="30" customHeight="1" x14ac:dyDescent="0.2">
      <c r="B2" s="692"/>
      <c r="C2" s="693" t="s">
        <v>195</v>
      </c>
      <c r="D2" s="693"/>
      <c r="E2" s="694"/>
      <c r="F2" s="694"/>
      <c r="G2" s="694"/>
      <c r="H2" s="694"/>
      <c r="I2" s="694"/>
      <c r="J2" s="694"/>
      <c r="K2" s="694"/>
      <c r="L2" s="694"/>
      <c r="M2" s="694"/>
      <c r="N2" s="694"/>
      <c r="O2" s="694"/>
      <c r="P2" s="694"/>
      <c r="Q2" s="694"/>
      <c r="R2" s="695"/>
      <c r="BA2" s="415"/>
      <c r="BB2" s="415"/>
      <c r="BC2" s="415"/>
      <c r="BD2" s="415"/>
      <c r="BE2" s="415"/>
      <c r="BF2" s="415"/>
      <c r="BH2" s="415"/>
      <c r="BI2" s="415"/>
      <c r="BJ2" s="415"/>
      <c r="BK2" s="415"/>
      <c r="BL2" s="415"/>
      <c r="BM2" s="415"/>
      <c r="BN2" s="415"/>
      <c r="BO2" s="415"/>
      <c r="CU2" s="416"/>
      <c r="CV2" s="416"/>
      <c r="CW2" s="416"/>
      <c r="CX2" s="416"/>
      <c r="CY2" s="416"/>
      <c r="CZ2" s="416"/>
      <c r="DA2" s="416"/>
    </row>
    <row r="3" spans="2:105" ht="30" customHeight="1" x14ac:dyDescent="0.25">
      <c r="B3" s="696"/>
      <c r="C3" s="697"/>
      <c r="D3" s="697"/>
      <c r="E3" s="697"/>
      <c r="F3" s="697"/>
      <c r="G3" s="697"/>
      <c r="H3" s="697"/>
      <c r="I3" s="698"/>
      <c r="J3" s="698" t="s">
        <v>196</v>
      </c>
      <c r="K3" s="697"/>
      <c r="L3" s="697"/>
      <c r="M3" s="697"/>
      <c r="N3" s="697"/>
      <c r="O3" s="697"/>
      <c r="P3" s="697"/>
      <c r="Q3" s="697"/>
      <c r="R3" s="699"/>
      <c r="S3" s="420"/>
      <c r="BV3" s="413"/>
      <c r="CU3" s="421"/>
    </row>
    <row r="4" spans="2:105" ht="15" customHeight="1" x14ac:dyDescent="0.25">
      <c r="B4" s="696"/>
      <c r="C4" s="697"/>
      <c r="D4" s="697"/>
      <c r="E4" s="697"/>
      <c r="F4" s="697"/>
      <c r="G4" s="697"/>
      <c r="H4" s="697"/>
      <c r="I4" s="698"/>
      <c r="J4" s="698"/>
      <c r="K4" s="698"/>
      <c r="L4" s="697"/>
      <c r="M4" s="697"/>
      <c r="N4" s="697"/>
      <c r="O4" s="697"/>
      <c r="P4" s="697"/>
      <c r="Q4" s="697"/>
      <c r="R4" s="699"/>
      <c r="T4" s="422" t="s">
        <v>554</v>
      </c>
      <c r="BA4" s="422" t="s">
        <v>197</v>
      </c>
      <c r="BV4" s="413"/>
      <c r="BW4" s="422" t="s">
        <v>198</v>
      </c>
      <c r="CD4" s="422" t="s">
        <v>199</v>
      </c>
      <c r="CN4" s="422" t="s">
        <v>200</v>
      </c>
      <c r="CO4" s="422"/>
    </row>
    <row r="5" spans="2:105" ht="15" customHeight="1" x14ac:dyDescent="0.25">
      <c r="B5" s="696"/>
      <c r="C5" s="697"/>
      <c r="D5" s="697"/>
      <c r="E5" s="697"/>
      <c r="F5" s="697"/>
      <c r="G5" s="697"/>
      <c r="H5" s="697"/>
      <c r="I5" s="697"/>
      <c r="J5" s="697"/>
      <c r="K5" s="697"/>
      <c r="L5" s="697"/>
      <c r="M5" s="697"/>
      <c r="N5" s="697"/>
      <c r="O5" s="697"/>
      <c r="P5" s="697"/>
      <c r="Q5" s="697"/>
      <c r="R5" s="699"/>
      <c r="BV5" s="413"/>
    </row>
    <row r="6" spans="2:105" ht="15" customHeight="1" x14ac:dyDescent="0.35">
      <c r="B6" s="696"/>
      <c r="C6" s="697"/>
      <c r="D6" s="697"/>
      <c r="E6" s="697"/>
      <c r="F6" s="697"/>
      <c r="G6" s="697"/>
      <c r="H6" s="697"/>
      <c r="I6" s="697"/>
      <c r="J6" s="697"/>
      <c r="K6" s="697"/>
      <c r="L6" s="697"/>
      <c r="M6" s="697"/>
      <c r="N6" s="697"/>
      <c r="O6" s="697"/>
      <c r="P6" s="697"/>
      <c r="Q6" s="697"/>
      <c r="R6" s="699"/>
      <c r="BA6" s="412" t="s">
        <v>555</v>
      </c>
      <c r="BH6" s="412" t="s">
        <v>556</v>
      </c>
      <c r="BQ6" s="410" t="s">
        <v>201</v>
      </c>
      <c r="BV6" s="413"/>
      <c r="BW6" s="410" t="s">
        <v>557</v>
      </c>
      <c r="CD6" s="410" t="s">
        <v>202</v>
      </c>
      <c r="CJ6" s="410" t="s">
        <v>203</v>
      </c>
      <c r="CN6" s="410" t="s">
        <v>204</v>
      </c>
      <c r="CP6" s="410" t="s">
        <v>558</v>
      </c>
      <c r="CS6" s="410" t="s">
        <v>205</v>
      </c>
    </row>
    <row r="7" spans="2:105" ht="15" customHeight="1" x14ac:dyDescent="0.25">
      <c r="B7" s="696"/>
      <c r="C7" s="697"/>
      <c r="D7" s="697"/>
      <c r="E7" s="697"/>
      <c r="F7" s="697"/>
      <c r="G7" s="697"/>
      <c r="H7" s="697"/>
      <c r="I7" s="697"/>
      <c r="J7" s="697"/>
      <c r="K7" s="697"/>
      <c r="L7" s="697"/>
      <c r="M7" s="697"/>
      <c r="N7" s="697"/>
      <c r="O7" s="697"/>
      <c r="P7" s="697"/>
      <c r="Q7" s="697"/>
      <c r="R7" s="699"/>
      <c r="AX7" s="423"/>
      <c r="BV7" s="413"/>
      <c r="CO7" s="413"/>
      <c r="CR7" s="413"/>
    </row>
    <row r="8" spans="2:105" ht="15" customHeight="1" x14ac:dyDescent="0.35">
      <c r="B8" s="696"/>
      <c r="C8" s="697"/>
      <c r="D8" s="697"/>
      <c r="E8" s="697"/>
      <c r="F8" s="697"/>
      <c r="G8" s="697"/>
      <c r="H8" s="697"/>
      <c r="I8" s="697"/>
      <c r="J8" s="697"/>
      <c r="K8" s="697"/>
      <c r="L8" s="697"/>
      <c r="M8" s="697"/>
      <c r="N8" s="697"/>
      <c r="O8" s="697"/>
      <c r="P8" s="697"/>
      <c r="Q8" s="697"/>
      <c r="R8" s="699"/>
      <c r="T8" s="250" t="s">
        <v>559</v>
      </c>
      <c r="U8" s="251" t="s">
        <v>206</v>
      </c>
      <c r="V8" s="252" t="s">
        <v>207</v>
      </c>
      <c r="W8" s="252" t="s">
        <v>208</v>
      </c>
      <c r="X8" s="252" t="s">
        <v>209</v>
      </c>
      <c r="Y8" s="253" t="s">
        <v>210</v>
      </c>
      <c r="Z8" s="253" t="s">
        <v>211</v>
      </c>
      <c r="AA8" s="252" t="s">
        <v>212</v>
      </c>
      <c r="AB8" s="254" t="s">
        <v>213</v>
      </c>
      <c r="AC8" s="254" t="s">
        <v>214</v>
      </c>
      <c r="AD8" s="253" t="s">
        <v>215</v>
      </c>
      <c r="AE8" s="254" t="s">
        <v>216</v>
      </c>
      <c r="AF8" s="254" t="s">
        <v>217</v>
      </c>
      <c r="AG8" s="254" t="s">
        <v>218</v>
      </c>
      <c r="AH8" s="253" t="s">
        <v>219</v>
      </c>
      <c r="AI8" s="254" t="s">
        <v>220</v>
      </c>
      <c r="AJ8" s="254" t="s">
        <v>221</v>
      </c>
      <c r="AK8" s="253" t="s">
        <v>222</v>
      </c>
      <c r="AL8" s="254" t="s">
        <v>223</v>
      </c>
      <c r="AM8" s="254" t="s">
        <v>224</v>
      </c>
      <c r="AN8" s="253" t="s">
        <v>225</v>
      </c>
      <c r="AO8" s="252" t="s">
        <v>226</v>
      </c>
      <c r="AP8" s="252" t="s">
        <v>227</v>
      </c>
      <c r="AQ8" s="252" t="s">
        <v>228</v>
      </c>
      <c r="AR8" s="252" t="s">
        <v>229</v>
      </c>
      <c r="AS8" s="255" t="s">
        <v>230</v>
      </c>
      <c r="AT8" s="255" t="s">
        <v>231</v>
      </c>
      <c r="AU8" s="255" t="s">
        <v>232</v>
      </c>
      <c r="AV8" s="255" t="s">
        <v>233</v>
      </c>
      <c r="AW8" s="255" t="s">
        <v>234</v>
      </c>
      <c r="AX8" s="256" t="s">
        <v>235</v>
      </c>
      <c r="AY8" s="257" t="s">
        <v>236</v>
      </c>
      <c r="BA8" s="424"/>
      <c r="BB8" s="425" t="s">
        <v>560</v>
      </c>
      <c r="BC8" s="426"/>
      <c r="BD8" s="427" t="s">
        <v>561</v>
      </c>
      <c r="BE8" s="427"/>
      <c r="BF8" s="428"/>
      <c r="BH8" s="429"/>
      <c r="BI8" s="430" t="s">
        <v>237</v>
      </c>
      <c r="BJ8" s="430" t="s">
        <v>238</v>
      </c>
      <c r="BK8" s="431" t="s">
        <v>239</v>
      </c>
      <c r="BL8" s="432" t="s">
        <v>240</v>
      </c>
      <c r="BM8" s="433" t="s">
        <v>241</v>
      </c>
      <c r="BN8" s="431" t="s">
        <v>242</v>
      </c>
      <c r="BO8" s="432" t="s">
        <v>243</v>
      </c>
      <c r="BQ8" s="434" t="s">
        <v>244</v>
      </c>
      <c r="BR8" s="435" t="s">
        <v>562</v>
      </c>
      <c r="BS8" s="436" t="s">
        <v>563</v>
      </c>
      <c r="BT8" s="437" t="s">
        <v>564</v>
      </c>
      <c r="BU8" s="438" t="s">
        <v>245</v>
      </c>
      <c r="BV8" s="439"/>
      <c r="BW8" s="440" t="s">
        <v>246</v>
      </c>
      <c r="BX8" s="441" t="s">
        <v>565</v>
      </c>
      <c r="BY8" s="441" t="s">
        <v>566</v>
      </c>
      <c r="BZ8" s="441" t="s">
        <v>567</v>
      </c>
      <c r="CA8" s="442" t="s">
        <v>247</v>
      </c>
      <c r="CB8" s="443"/>
      <c r="CD8" s="444" t="s">
        <v>248</v>
      </c>
      <c r="CE8" s="445" t="s">
        <v>249</v>
      </c>
      <c r="CF8" s="446" t="s">
        <v>568</v>
      </c>
      <c r="CG8" s="447" t="s">
        <v>250</v>
      </c>
      <c r="CJ8" s="448" t="s">
        <v>251</v>
      </c>
      <c r="CK8" s="449" t="s">
        <v>252</v>
      </c>
      <c r="CN8" s="450" t="s">
        <v>253</v>
      </c>
      <c r="CO8" s="413"/>
      <c r="CP8" s="451" t="s">
        <v>118</v>
      </c>
      <c r="CQ8" s="450" t="str">
        <f>CP8</f>
        <v>US Average</v>
      </c>
      <c r="CR8" s="413"/>
      <c r="CS8" s="786" t="s">
        <v>687</v>
      </c>
      <c r="CU8" s="787" t="s">
        <v>688</v>
      </c>
      <c r="CV8" s="787" t="s">
        <v>689</v>
      </c>
      <c r="CW8" s="790" t="s">
        <v>700</v>
      </c>
      <c r="CX8" s="790" t="s">
        <v>692</v>
      </c>
      <c r="CY8" s="790" t="s">
        <v>693</v>
      </c>
      <c r="CZ8" s="790" t="s">
        <v>694</v>
      </c>
      <c r="DA8" s="787" t="s">
        <v>695</v>
      </c>
    </row>
    <row r="9" spans="2:105" ht="15" customHeight="1" x14ac:dyDescent="0.3">
      <c r="B9" s="696"/>
      <c r="C9" s="700" t="s">
        <v>254</v>
      </c>
      <c r="D9" s="700"/>
      <c r="E9" s="701"/>
      <c r="F9" s="697"/>
      <c r="G9" s="697"/>
      <c r="H9" s="697"/>
      <c r="I9" s="697"/>
      <c r="J9" s="697"/>
      <c r="K9" s="697"/>
      <c r="L9" s="697"/>
      <c r="M9" s="697"/>
      <c r="N9" s="697"/>
      <c r="O9" s="697"/>
      <c r="P9" s="697"/>
      <c r="Q9" s="697"/>
      <c r="R9" s="699"/>
      <c r="T9" s="454" t="s">
        <v>255</v>
      </c>
      <c r="U9" s="455" t="s">
        <v>118</v>
      </c>
      <c r="V9" s="456">
        <v>1515006.8</v>
      </c>
      <c r="W9" s="456">
        <v>24681443314.815002</v>
      </c>
      <c r="X9" s="456">
        <v>4075322641.0889993</v>
      </c>
      <c r="Y9" s="456">
        <v>1469046.5790000004</v>
      </c>
      <c r="Z9" s="456">
        <v>1626230.1180000002</v>
      </c>
      <c r="AA9" s="456">
        <v>2034489329.8150001</v>
      </c>
      <c r="AB9" s="456">
        <v>1.0156862745098034</v>
      </c>
      <c r="AC9" s="456">
        <v>0.85007843137254913</v>
      </c>
      <c r="AD9" s="456">
        <v>990.49380392156854</v>
      </c>
      <c r="AE9" s="456">
        <v>0.14996078431372553</v>
      </c>
      <c r="AF9" s="456">
        <v>0.14521568627450976</v>
      </c>
      <c r="AG9" s="456">
        <v>0.12141176470588234</v>
      </c>
      <c r="AH9" s="456">
        <v>154.63535294117654</v>
      </c>
      <c r="AI9" s="456">
        <v>1.4468039215686268</v>
      </c>
      <c r="AJ9" s="456">
        <v>1.2483725490196078</v>
      </c>
      <c r="AK9" s="456">
        <v>1565.2376274509809</v>
      </c>
      <c r="AL9" s="456">
        <v>0.14052941176470585</v>
      </c>
      <c r="AM9" s="456">
        <v>0.12409803921568627</v>
      </c>
      <c r="AN9" s="456">
        <v>164.07690196078437</v>
      </c>
      <c r="AO9" s="456">
        <v>1239148653.1199999</v>
      </c>
      <c r="AP9" s="456">
        <v>24194840.375000004</v>
      </c>
      <c r="AQ9" s="456">
        <v>1377456321.6829994</v>
      </c>
      <c r="AR9" s="456">
        <v>13889068.879000003</v>
      </c>
      <c r="AS9" s="456">
        <v>30.068145938472441</v>
      </c>
      <c r="AT9" s="456">
        <v>1.9782318450179248</v>
      </c>
      <c r="AU9" s="456">
        <v>30.363882582366198</v>
      </c>
      <c r="AV9" s="456">
        <v>0.30405593164680517</v>
      </c>
      <c r="AW9" s="456">
        <v>66.901587835971043</v>
      </c>
      <c r="AX9" s="457">
        <v>6056.3163922205877</v>
      </c>
      <c r="AY9" s="458">
        <v>8715.3972664929388</v>
      </c>
      <c r="BA9" s="459"/>
      <c r="BB9" s="460" t="s">
        <v>256</v>
      </c>
      <c r="BC9" s="461" t="s">
        <v>257</v>
      </c>
      <c r="BD9" s="462" t="s">
        <v>256</v>
      </c>
      <c r="BE9" s="462" t="s">
        <v>257</v>
      </c>
      <c r="BF9" s="463" t="s">
        <v>258</v>
      </c>
      <c r="BH9" s="464" t="s">
        <v>259</v>
      </c>
      <c r="BI9" s="465">
        <v>294098.96720494935</v>
      </c>
      <c r="BJ9" s="465">
        <v>184706.73658799267</v>
      </c>
      <c r="BK9" s="466">
        <f>BI9*'Carbon Calc 041118'!$CJ$9*'Carbon Calc 041118'!$CJ$11</f>
        <v>648376465.07937539</v>
      </c>
      <c r="BL9" s="467">
        <f>BJ9*'Carbon Calc 041118'!$CJ$9*'Carbon Calc 041118'!$CJ$11</f>
        <v>407208165.6166203</v>
      </c>
      <c r="BM9" s="465">
        <v>568000</v>
      </c>
      <c r="BN9" s="468">
        <f t="shared" ref="BN9:BO19" si="0">BK9/$BM9/1000</f>
        <v>1.1415078610552385</v>
      </c>
      <c r="BO9" s="469">
        <f t="shared" si="0"/>
        <v>0.71691578453630334</v>
      </c>
      <c r="BQ9" s="434" t="s">
        <v>259</v>
      </c>
      <c r="BR9" s="470">
        <f>'Carbon Calc 041118'!BD10</f>
        <v>361.55840491013953</v>
      </c>
      <c r="BS9" s="471">
        <f>'Carbon Calc 041118'!BO9</f>
        <v>0.71691578453630334</v>
      </c>
      <c r="BT9" s="472">
        <f>'Carbon Calc 041118'!BN9</f>
        <v>1.1415078610552385</v>
      </c>
      <c r="BU9" s="473">
        <v>3634</v>
      </c>
      <c r="BV9" s="474"/>
      <c r="BW9" s="448" t="str">
        <f t="shared" ref="BW9:BW34" si="1">U9</f>
        <v>US Average</v>
      </c>
      <c r="BX9" s="475">
        <f t="shared" ref="BX9:BX34" si="2">AD9</f>
        <v>990.49380392156854</v>
      </c>
      <c r="BY9" s="475">
        <f t="shared" ref="BY9:BY34" si="3">AC9</f>
        <v>0.85007843137254913</v>
      </c>
      <c r="BZ9" s="475">
        <f t="shared" ref="BZ9:BZ34" si="4">AB9</f>
        <v>1.0156862745098034</v>
      </c>
      <c r="CA9" s="442">
        <f t="shared" ref="CA9:CA34" si="5">AX9</f>
        <v>6056.3163922205877</v>
      </c>
      <c r="CB9" s="476"/>
      <c r="CD9" s="477" t="s">
        <v>260</v>
      </c>
      <c r="CE9" s="478">
        <v>18</v>
      </c>
      <c r="CF9" s="479">
        <v>104</v>
      </c>
      <c r="CG9" s="480">
        <v>0.51</v>
      </c>
      <c r="CJ9" s="481">
        <v>1.1023099999999999</v>
      </c>
      <c r="CK9" s="482" t="s">
        <v>261</v>
      </c>
      <c r="CN9" s="483" t="s">
        <v>262</v>
      </c>
      <c r="CO9" s="413"/>
      <c r="CP9" s="477" t="s">
        <v>69</v>
      </c>
      <c r="CQ9" s="482" t="s">
        <v>263</v>
      </c>
      <c r="CR9" s="413"/>
      <c r="CS9" s="788" t="s">
        <v>690</v>
      </c>
      <c r="CU9" s="451" t="s">
        <v>118</v>
      </c>
      <c r="CV9" s="450" t="str">
        <f>CU9</f>
        <v>US Average</v>
      </c>
      <c r="CW9" s="482" t="s">
        <v>578</v>
      </c>
      <c r="CX9" s="482" t="s">
        <v>578</v>
      </c>
      <c r="CY9" s="482" t="s">
        <v>579</v>
      </c>
      <c r="CZ9" s="482" t="s">
        <v>579</v>
      </c>
      <c r="DA9" s="482" t="s">
        <v>259</v>
      </c>
    </row>
    <row r="10" spans="2:105" ht="15" customHeight="1" x14ac:dyDescent="0.25">
      <c r="B10" s="696"/>
      <c r="C10" s="697"/>
      <c r="D10" s="697"/>
      <c r="E10" s="701"/>
      <c r="F10" s="697"/>
      <c r="G10" s="818" t="s">
        <v>264</v>
      </c>
      <c r="H10" s="818"/>
      <c r="I10" s="818"/>
      <c r="J10" s="818"/>
      <c r="K10" s="818"/>
      <c r="L10" s="818"/>
      <c r="M10" s="818"/>
      <c r="N10" s="818"/>
      <c r="O10" s="818"/>
      <c r="P10" s="818"/>
      <c r="Q10" s="818"/>
      <c r="R10" s="699"/>
      <c r="T10" s="258">
        <v>1</v>
      </c>
      <c r="U10" s="259" t="s">
        <v>263</v>
      </c>
      <c r="V10" s="484">
        <v>3439.3</v>
      </c>
      <c r="W10" s="484">
        <v>42553080.627999999</v>
      </c>
      <c r="X10" s="484">
        <v>6335033.5109999999</v>
      </c>
      <c r="Y10" s="484">
        <v>21008.134999999998</v>
      </c>
      <c r="Z10" s="484">
        <v>1748.4649999999999</v>
      </c>
      <c r="AA10" s="484">
        <v>2932682.5440000002</v>
      </c>
      <c r="AB10" s="484">
        <v>6.6319999999999997</v>
      </c>
      <c r="AC10" s="484">
        <v>0.55200000000000005</v>
      </c>
      <c r="AD10" s="484">
        <v>925.86199999999997</v>
      </c>
      <c r="AE10" s="484">
        <v>0.98699999999999999</v>
      </c>
      <c r="AF10" s="484">
        <v>0.96299999999999997</v>
      </c>
      <c r="AG10" s="484">
        <v>8.2000000000000003E-2</v>
      </c>
      <c r="AH10" s="484">
        <v>137.83600000000001</v>
      </c>
      <c r="AI10" s="484">
        <v>9.2650000000000006</v>
      </c>
      <c r="AJ10" s="484">
        <v>0.77800000000000002</v>
      </c>
      <c r="AK10" s="484">
        <v>1311.3109999999999</v>
      </c>
      <c r="AL10" s="484">
        <v>0.98299999999999998</v>
      </c>
      <c r="AM10" s="484">
        <v>8.3000000000000004E-2</v>
      </c>
      <c r="AN10" s="484">
        <v>139.14599999999999</v>
      </c>
      <c r="AO10" s="484">
        <v>594138.93299999996</v>
      </c>
      <c r="AP10" s="484">
        <v>831329.647</v>
      </c>
      <c r="AQ10" s="484">
        <v>3040487.3029999998</v>
      </c>
      <c r="AR10" s="484">
        <v>0</v>
      </c>
      <c r="AS10" s="484">
        <v>9.3750834965435494</v>
      </c>
      <c r="AT10" s="484">
        <v>13.1177817525334</v>
      </c>
      <c r="AU10" s="484">
        <v>47.976694932068199</v>
      </c>
      <c r="AV10" s="484">
        <v>0</v>
      </c>
      <c r="AW10" s="484">
        <v>71.110587455427293</v>
      </c>
      <c r="AX10" s="260">
        <v>6717.104266948525</v>
      </c>
      <c r="AY10" s="261">
        <v>9442.432137408412</v>
      </c>
      <c r="BA10" s="485" t="s">
        <v>259</v>
      </c>
      <c r="BB10" s="486">
        <v>164</v>
      </c>
      <c r="BC10" s="487">
        <v>180</v>
      </c>
      <c r="BD10" s="488">
        <f>BB10*1000/'Carbon Calc 041118'!$CJ$12</f>
        <v>361.55840491013953</v>
      </c>
      <c r="BE10" s="488">
        <f>BC10*1000/'Carbon Calc 041118'!$CJ$12</f>
        <v>396.83239563307995</v>
      </c>
      <c r="BF10" s="489">
        <f t="shared" ref="BF10:BF20" si="6">BC10/BB10-1</f>
        <v>9.7560975609756184E-2</v>
      </c>
      <c r="BH10" s="490" t="s">
        <v>59</v>
      </c>
      <c r="BI10" s="491">
        <v>114491.81096</v>
      </c>
      <c r="BJ10" s="491">
        <v>84030.117501149434</v>
      </c>
      <c r="BK10" s="492">
        <f>BI10*'Carbon Calc 041118'!$CJ$9*'Carbon Calc 041118'!$CJ$11</f>
        <v>252410936.27863517</v>
      </c>
      <c r="BL10" s="493">
        <f>BJ10*'Carbon Calc 041118'!$CJ$9*'Carbon Calc 041118'!$CJ$11</f>
        <v>185254477.64538407</v>
      </c>
      <c r="BM10" s="491">
        <v>64600</v>
      </c>
      <c r="BN10" s="494">
        <f t="shared" si="0"/>
        <v>3.9072900352729905</v>
      </c>
      <c r="BO10" s="495">
        <f t="shared" si="0"/>
        <v>2.8677163722195678</v>
      </c>
      <c r="BQ10" s="496" t="s">
        <v>59</v>
      </c>
      <c r="BR10" s="497">
        <f>'Carbon Calc 041118'!BD11</f>
        <v>1629.2174465158116</v>
      </c>
      <c r="BS10" s="498">
        <f>'Carbon Calc 041118'!BO10</f>
        <v>2.8677163722195678</v>
      </c>
      <c r="BT10" s="499">
        <f>'Carbon Calc 041118'!BN10</f>
        <v>3.9072900352729905</v>
      </c>
      <c r="BU10" s="500">
        <v>10177</v>
      </c>
      <c r="BV10" s="474"/>
      <c r="BW10" s="477" t="str">
        <f t="shared" si="1"/>
        <v>AK</v>
      </c>
      <c r="BX10" s="501">
        <f t="shared" si="2"/>
        <v>925.86199999999997</v>
      </c>
      <c r="BY10" s="501">
        <f t="shared" si="3"/>
        <v>0.55200000000000005</v>
      </c>
      <c r="BZ10" s="501">
        <f t="shared" si="4"/>
        <v>6.6319999999999997</v>
      </c>
      <c r="CA10" s="502">
        <f t="shared" si="5"/>
        <v>6717.104266948525</v>
      </c>
      <c r="CB10" s="476"/>
      <c r="CD10" s="477" t="s">
        <v>265</v>
      </c>
      <c r="CE10" s="478">
        <v>5</v>
      </c>
      <c r="CF10" s="479">
        <v>50</v>
      </c>
      <c r="CG10" s="480">
        <v>0.54</v>
      </c>
      <c r="CJ10" s="477">
        <v>9.9975999999999995E-2</v>
      </c>
      <c r="CK10" s="482" t="s">
        <v>266</v>
      </c>
      <c r="CP10" s="477" t="s">
        <v>70</v>
      </c>
      <c r="CQ10" s="482" t="s">
        <v>267</v>
      </c>
      <c r="CR10" s="413"/>
      <c r="CS10" s="789" t="s">
        <v>691</v>
      </c>
      <c r="CU10" s="482" t="s">
        <v>69</v>
      </c>
      <c r="CV10" s="482" t="s">
        <v>69</v>
      </c>
      <c r="CW10" s="482" t="s">
        <v>581</v>
      </c>
      <c r="CX10" s="482" t="s">
        <v>581</v>
      </c>
      <c r="CY10" s="482" t="s">
        <v>582</v>
      </c>
      <c r="CZ10" s="482" t="s">
        <v>582</v>
      </c>
      <c r="DA10" s="482" t="s">
        <v>59</v>
      </c>
    </row>
    <row r="11" spans="2:105" ht="15" customHeight="1" x14ac:dyDescent="0.25">
      <c r="B11" s="696"/>
      <c r="C11" s="702" t="s">
        <v>268</v>
      </c>
      <c r="D11" s="702"/>
      <c r="E11" s="703" t="s">
        <v>269</v>
      </c>
      <c r="F11" s="702"/>
      <c r="G11" s="704" t="s">
        <v>507</v>
      </c>
      <c r="H11" s="704"/>
      <c r="I11" s="704" t="s">
        <v>3</v>
      </c>
      <c r="J11" s="704"/>
      <c r="K11" s="704" t="s">
        <v>4</v>
      </c>
      <c r="L11" s="704"/>
      <c r="M11" s="704" t="s">
        <v>5</v>
      </c>
      <c r="N11" s="703"/>
      <c r="O11" s="703" t="s">
        <v>270</v>
      </c>
      <c r="P11" s="703"/>
      <c r="Q11" s="703" t="s">
        <v>271</v>
      </c>
      <c r="R11" s="699"/>
      <c r="T11" s="258">
        <v>2</v>
      </c>
      <c r="U11" s="259" t="s">
        <v>267</v>
      </c>
      <c r="V11" s="484">
        <v>38353.5</v>
      </c>
      <c r="W11" s="484">
        <v>824393497.06500006</v>
      </c>
      <c r="X11" s="484">
        <v>142863240.20899999</v>
      </c>
      <c r="Y11" s="484">
        <v>29880.561000000002</v>
      </c>
      <c r="Z11" s="484">
        <v>28836.22</v>
      </c>
      <c r="AA11" s="484">
        <v>65211148.281000003</v>
      </c>
      <c r="AB11" s="484">
        <v>0.41799999999999998</v>
      </c>
      <c r="AC11" s="484">
        <v>0.40400000000000003</v>
      </c>
      <c r="AD11" s="484">
        <v>912.91700000000003</v>
      </c>
      <c r="AE11" s="484">
        <v>7.1999999999999995E-2</v>
      </c>
      <c r="AF11" s="484">
        <v>6.4000000000000001E-2</v>
      </c>
      <c r="AG11" s="484">
        <v>7.0000000000000007E-2</v>
      </c>
      <c r="AH11" s="484">
        <v>158.20400000000001</v>
      </c>
      <c r="AI11" s="484">
        <v>0.60399999999999998</v>
      </c>
      <c r="AJ11" s="484">
        <v>0.55700000000000005</v>
      </c>
      <c r="AK11" s="484">
        <v>1404.7370000000001</v>
      </c>
      <c r="AL11" s="484">
        <v>6.9000000000000006E-2</v>
      </c>
      <c r="AM11" s="484">
        <v>6.4000000000000001E-2</v>
      </c>
      <c r="AN11" s="484">
        <v>161.441</v>
      </c>
      <c r="AO11" s="484">
        <v>34258405.453000002</v>
      </c>
      <c r="AP11" s="484">
        <v>45832.366999999998</v>
      </c>
      <c r="AQ11" s="484">
        <v>57803618.427000001</v>
      </c>
      <c r="AR11" s="484">
        <v>24053.044000000002</v>
      </c>
      <c r="AS11" s="484">
        <v>23.979860343231799</v>
      </c>
      <c r="AT11" s="484">
        <v>3.2081287652677502E-2</v>
      </c>
      <c r="AU11" s="484">
        <v>40.460806009041498</v>
      </c>
      <c r="AV11" s="484">
        <v>1.6836412212498399E-2</v>
      </c>
      <c r="AW11" s="484">
        <v>66.824156463580593</v>
      </c>
      <c r="AX11" s="260">
        <v>5770.5081857233799</v>
      </c>
      <c r="AY11" s="261">
        <v>8635.3625639537586</v>
      </c>
      <c r="BA11" s="481" t="s">
        <v>59</v>
      </c>
      <c r="BB11" s="504">
        <v>739</v>
      </c>
      <c r="BC11" s="505">
        <v>1000</v>
      </c>
      <c r="BD11" s="506">
        <f>BB11*1000/'Carbon Calc 041118'!$CJ$12</f>
        <v>1629.2174465158116</v>
      </c>
      <c r="BE11" s="506">
        <f>BC11*1000/'Carbon Calc 041118'!$CJ$12</f>
        <v>2204.6244201837776</v>
      </c>
      <c r="BF11" s="507">
        <f t="shared" si="6"/>
        <v>0.35317997293640047</v>
      </c>
      <c r="BH11" s="490" t="s">
        <v>60</v>
      </c>
      <c r="BI11" s="491">
        <v>138.70479504146181</v>
      </c>
      <c r="BJ11" s="491">
        <v>2088.8573668881386</v>
      </c>
      <c r="BK11" s="492">
        <f>BI11*'Carbon Calc 041118'!$CJ$9*'Carbon Calc 041118'!$CJ$11</f>
        <v>305791.3652443075</v>
      </c>
      <c r="BL11" s="493">
        <f>BJ11*'Carbon Calc 041118'!$CJ$9*'Carbon Calc 041118'!$CJ$11</f>
        <v>4605136.7281889282</v>
      </c>
      <c r="BM11" s="491">
        <v>56300</v>
      </c>
      <c r="BN11" s="494">
        <f t="shared" si="0"/>
        <v>5.4314629705916077E-3</v>
      </c>
      <c r="BO11" s="495">
        <f t="shared" si="0"/>
        <v>8.1796389488258042E-2</v>
      </c>
      <c r="BQ11" s="496" t="s">
        <v>60</v>
      </c>
      <c r="BR11" s="497">
        <f>'Carbon Calc 041118'!BD12</f>
        <v>24.912255948076687</v>
      </c>
      <c r="BS11" s="498">
        <f>'Carbon Calc 041118'!BO11</f>
        <v>8.1796389488258042E-2</v>
      </c>
      <c r="BT11" s="499">
        <f>'Carbon Calc 041118'!BN11</f>
        <v>5.4314629705916077E-3</v>
      </c>
      <c r="BU11" s="508">
        <v>437</v>
      </c>
      <c r="BV11" s="439"/>
      <c r="BW11" s="477" t="str">
        <f t="shared" si="1"/>
        <v>AL</v>
      </c>
      <c r="BX11" s="501">
        <f t="shared" si="2"/>
        <v>912.91700000000003</v>
      </c>
      <c r="BY11" s="501">
        <f t="shared" si="3"/>
        <v>0.40400000000000003</v>
      </c>
      <c r="BZ11" s="501">
        <f t="shared" si="4"/>
        <v>0.41799999999999998</v>
      </c>
      <c r="CA11" s="502">
        <f t="shared" si="5"/>
        <v>5770.5081857233799</v>
      </c>
      <c r="CB11" s="476"/>
      <c r="CD11" s="477" t="s">
        <v>272</v>
      </c>
      <c r="CE11" s="478">
        <v>15</v>
      </c>
      <c r="CF11" s="479">
        <v>32</v>
      </c>
      <c r="CG11" s="509">
        <v>0.18</v>
      </c>
      <c r="CJ11" s="481">
        <v>2000</v>
      </c>
      <c r="CK11" s="482" t="s">
        <v>273</v>
      </c>
      <c r="CP11" s="477" t="s">
        <v>71</v>
      </c>
      <c r="CQ11" s="482" t="s">
        <v>274</v>
      </c>
      <c r="CR11" s="413"/>
      <c r="CU11" s="482" t="s">
        <v>70</v>
      </c>
      <c r="CV11" s="482" t="s">
        <v>70</v>
      </c>
      <c r="CW11" s="482" t="s">
        <v>584</v>
      </c>
      <c r="CX11" s="482" t="s">
        <v>584</v>
      </c>
      <c r="CY11" s="482" t="s">
        <v>585</v>
      </c>
      <c r="CZ11" s="482" t="s">
        <v>585</v>
      </c>
      <c r="DA11" s="482" t="s">
        <v>60</v>
      </c>
    </row>
    <row r="12" spans="2:105" ht="15" customHeight="1" x14ac:dyDescent="0.25">
      <c r="B12" s="696"/>
      <c r="C12" s="697"/>
      <c r="D12" s="697"/>
      <c r="E12" s="701"/>
      <c r="F12" s="705" t="s">
        <v>508</v>
      </c>
      <c r="G12" s="706">
        <f>+'CHP Payback'!C12*'CHP Payback'!C58</f>
        <v>81093.206951026848</v>
      </c>
      <c r="H12" s="707"/>
      <c r="I12" s="708">
        <f>+'CHP Payback'!C12*'CHP Payback'!D58</f>
        <v>104916.84210526316</v>
      </c>
      <c r="J12" s="707"/>
      <c r="K12" s="706">
        <f>+'CHP Payback'!C12*'CHP Payback'!E58</f>
        <v>116894.67312348669</v>
      </c>
      <c r="L12" s="707"/>
      <c r="M12" s="706">
        <f>+'CHP Payback'!C12*'CHP Payback'!F58</f>
        <v>65600</v>
      </c>
      <c r="N12" s="697"/>
      <c r="O12" s="697"/>
      <c r="P12" s="697"/>
      <c r="Q12" s="697"/>
      <c r="R12" s="699"/>
      <c r="T12" s="258">
        <v>3</v>
      </c>
      <c r="U12" s="259" t="s">
        <v>274</v>
      </c>
      <c r="V12" s="484">
        <v>19535.8</v>
      </c>
      <c r="W12" s="484">
        <v>387648456.454</v>
      </c>
      <c r="X12" s="484">
        <v>60445059.071999997</v>
      </c>
      <c r="Y12" s="484">
        <v>27939.914000000001</v>
      </c>
      <c r="Z12" s="484">
        <v>48693.671999999999</v>
      </c>
      <c r="AA12" s="484">
        <v>33717770.256999999</v>
      </c>
      <c r="AB12" s="484">
        <v>0.92400000000000004</v>
      </c>
      <c r="AC12" s="484">
        <v>1.611</v>
      </c>
      <c r="AD12" s="484">
        <v>1115.6500000000001</v>
      </c>
      <c r="AE12" s="484">
        <v>0.14399999999999999</v>
      </c>
      <c r="AF12" s="484">
        <v>0.14599999999999999</v>
      </c>
      <c r="AG12" s="484">
        <v>0.251</v>
      </c>
      <c r="AH12" s="484">
        <v>173.96100000000001</v>
      </c>
      <c r="AI12" s="484">
        <v>1.29</v>
      </c>
      <c r="AJ12" s="484">
        <v>2.2349999999999999</v>
      </c>
      <c r="AK12" s="484">
        <v>1611.9490000000001</v>
      </c>
      <c r="AL12" s="484">
        <v>0.14199999999999999</v>
      </c>
      <c r="AM12" s="484">
        <v>0.247</v>
      </c>
      <c r="AN12" s="484">
        <v>177.91</v>
      </c>
      <c r="AO12" s="484">
        <v>23800070.486000001</v>
      </c>
      <c r="AP12" s="484">
        <v>42363.245999999999</v>
      </c>
      <c r="AQ12" s="484">
        <v>18171187.004999999</v>
      </c>
      <c r="AR12" s="484">
        <v>5636.7730000000001</v>
      </c>
      <c r="AS12" s="484">
        <v>39.374716017908703</v>
      </c>
      <c r="AT12" s="484">
        <v>7.0085539529305393E-2</v>
      </c>
      <c r="AU12" s="484">
        <v>30.062319708299199</v>
      </c>
      <c r="AV12" s="484">
        <v>9.3254486898671895E-3</v>
      </c>
      <c r="AW12" s="484">
        <v>71.782683036427201</v>
      </c>
      <c r="AX12" s="260">
        <v>6413.2364564694526</v>
      </c>
      <c r="AY12" s="261">
        <v>8934.238942152615</v>
      </c>
      <c r="BA12" s="481" t="s">
        <v>60</v>
      </c>
      <c r="BB12" s="504">
        <v>11.3</v>
      </c>
      <c r="BC12" s="505">
        <v>12</v>
      </c>
      <c r="BD12" s="506">
        <f>BB12*1000/'Carbon Calc 041118'!$CJ$12</f>
        <v>24.912255948076687</v>
      </c>
      <c r="BE12" s="506">
        <f>BC12*1000/'Carbon Calc 041118'!$CJ$12</f>
        <v>26.45549304220533</v>
      </c>
      <c r="BF12" s="507">
        <f t="shared" si="6"/>
        <v>6.1946902654867131E-2</v>
      </c>
      <c r="BH12" s="490" t="s">
        <v>61</v>
      </c>
      <c r="BI12" s="491">
        <v>664.74159214250608</v>
      </c>
      <c r="BJ12" s="491">
        <v>442.07568449616576</v>
      </c>
      <c r="BK12" s="492">
        <f>BI12*'Carbon Calc 041118'!$CJ$9*'Carbon Calc 041118'!$CJ$11</f>
        <v>1465502.6088692115</v>
      </c>
      <c r="BL12" s="493">
        <f>BJ12*'Carbon Calc 041118'!$CJ$9*'Carbon Calc 041118'!$CJ$11</f>
        <v>974608.89555393695</v>
      </c>
      <c r="BM12" s="491">
        <v>35100</v>
      </c>
      <c r="BN12" s="494">
        <f t="shared" si="0"/>
        <v>4.1752211078894916E-2</v>
      </c>
      <c r="BO12" s="495">
        <f t="shared" si="0"/>
        <v>2.7766635200966863E-2</v>
      </c>
      <c r="BQ12" s="496" t="s">
        <v>61</v>
      </c>
      <c r="BR12" s="497">
        <f>'Carbon Calc 041118'!BD13</f>
        <v>7.3193530750101417</v>
      </c>
      <c r="BS12" s="498">
        <f>'Carbon Calc 041118'!BO12</f>
        <v>2.7766635200966863E-2</v>
      </c>
      <c r="BT12" s="499">
        <f>'Carbon Calc 041118'!BN12</f>
        <v>4.1752211078894916E-2</v>
      </c>
      <c r="BU12" s="508">
        <v>300</v>
      </c>
      <c r="BV12" s="439"/>
      <c r="BW12" s="477" t="str">
        <f t="shared" si="1"/>
        <v>AR</v>
      </c>
      <c r="BX12" s="501">
        <f t="shared" si="2"/>
        <v>1115.6500000000001</v>
      </c>
      <c r="BY12" s="501">
        <f t="shared" si="3"/>
        <v>1.611</v>
      </c>
      <c r="BZ12" s="501">
        <f t="shared" si="4"/>
        <v>0.92400000000000004</v>
      </c>
      <c r="CA12" s="502">
        <f t="shared" si="5"/>
        <v>6413.2364564694526</v>
      </c>
      <c r="CB12" s="476"/>
      <c r="CD12" s="477" t="s">
        <v>275</v>
      </c>
      <c r="CE12" s="478">
        <v>5</v>
      </c>
      <c r="CF12" s="479">
        <v>136</v>
      </c>
      <c r="CG12" s="480">
        <v>0.37</v>
      </c>
      <c r="CJ12" s="459">
        <v>453.59199999999998</v>
      </c>
      <c r="CK12" s="483" t="s">
        <v>276</v>
      </c>
      <c r="CP12" s="477" t="s">
        <v>72</v>
      </c>
      <c r="CQ12" s="482" t="s">
        <v>277</v>
      </c>
      <c r="CR12" s="413"/>
      <c r="CU12" s="482" t="s">
        <v>71</v>
      </c>
      <c r="CV12" s="482" t="s">
        <v>71</v>
      </c>
      <c r="CW12" s="482" t="s">
        <v>587</v>
      </c>
      <c r="CX12" s="482" t="s">
        <v>587</v>
      </c>
      <c r="CY12" s="482" t="s">
        <v>588</v>
      </c>
      <c r="CZ12" s="482" t="s">
        <v>588</v>
      </c>
      <c r="DA12" s="482" t="s">
        <v>61</v>
      </c>
    </row>
    <row r="13" spans="2:105" ht="15" customHeight="1" x14ac:dyDescent="0.25">
      <c r="B13" s="696"/>
      <c r="C13" s="709" t="s">
        <v>278</v>
      </c>
      <c r="D13" s="709"/>
      <c r="E13" s="710">
        <f>+'CHP Payback'!C32</f>
        <v>8200000</v>
      </c>
      <c r="F13" s="711"/>
      <c r="G13" s="712"/>
      <c r="H13" s="713"/>
      <c r="I13" s="712"/>
      <c r="J13" s="713"/>
      <c r="K13" s="712"/>
      <c r="L13" s="713"/>
      <c r="M13" s="712"/>
      <c r="N13" s="713"/>
      <c r="O13" s="712"/>
      <c r="P13" s="713"/>
      <c r="Q13" s="712"/>
      <c r="R13" s="699"/>
      <c r="T13" s="258">
        <v>4</v>
      </c>
      <c r="U13" s="259" t="s">
        <v>277</v>
      </c>
      <c r="V13" s="484">
        <v>40134.699999999997</v>
      </c>
      <c r="W13" s="484">
        <v>602858093.58099997</v>
      </c>
      <c r="X13" s="484">
        <v>108734630.779</v>
      </c>
      <c r="Y13" s="484">
        <v>33982.222999999998</v>
      </c>
      <c r="Z13" s="484">
        <v>12955.197</v>
      </c>
      <c r="AA13" s="484">
        <v>50682559.953000002</v>
      </c>
      <c r="AB13" s="484">
        <v>0.625</v>
      </c>
      <c r="AC13" s="484">
        <v>0.23799999999999999</v>
      </c>
      <c r="AD13" s="484">
        <v>932.22500000000002</v>
      </c>
      <c r="AE13" s="484">
        <v>0.113</v>
      </c>
      <c r="AF13" s="484">
        <v>0.10299999999999999</v>
      </c>
      <c r="AG13" s="484">
        <v>4.2999999999999997E-2</v>
      </c>
      <c r="AH13" s="484">
        <v>168.14099999999999</v>
      </c>
      <c r="AI13" s="484">
        <v>1.034</v>
      </c>
      <c r="AJ13" s="484">
        <v>0.39900000000000002</v>
      </c>
      <c r="AK13" s="484">
        <v>1567.7729999999999</v>
      </c>
      <c r="AL13" s="484">
        <v>0.112</v>
      </c>
      <c r="AM13" s="484">
        <v>4.2999999999999997E-2</v>
      </c>
      <c r="AN13" s="484">
        <v>169.22800000000001</v>
      </c>
      <c r="AO13" s="484">
        <v>30403391.899999999</v>
      </c>
      <c r="AP13" s="484">
        <v>51594.648999999998</v>
      </c>
      <c r="AQ13" s="484">
        <v>34182807.968999997</v>
      </c>
      <c r="AR13" s="484">
        <v>0</v>
      </c>
      <c r="AS13" s="484">
        <v>27.960925757986299</v>
      </c>
      <c r="AT13" s="484">
        <v>4.7449776490180402E-2</v>
      </c>
      <c r="AU13" s="484">
        <v>31.436721237037801</v>
      </c>
      <c r="AV13" s="484">
        <v>0</v>
      </c>
      <c r="AW13" s="484">
        <v>59.642252370915301</v>
      </c>
      <c r="AX13" s="260">
        <v>5544.3062551643889</v>
      </c>
      <c r="AY13" s="261">
        <v>9295.8812783401863</v>
      </c>
      <c r="BA13" s="481" t="s">
        <v>61</v>
      </c>
      <c r="BB13" s="504">
        <v>3.32</v>
      </c>
      <c r="BC13" s="505">
        <v>3.5</v>
      </c>
      <c r="BD13" s="506">
        <f>BB13*1000/'Carbon Calc 041118'!$CJ$12</f>
        <v>7.3193530750101417</v>
      </c>
      <c r="BE13" s="506">
        <f>BC13*1000/'Carbon Calc 041118'!$CJ$12</f>
        <v>7.7161854706432216</v>
      </c>
      <c r="BF13" s="507">
        <f t="shared" si="6"/>
        <v>5.4216867469879526E-2</v>
      </c>
      <c r="BH13" s="490" t="s">
        <v>62</v>
      </c>
      <c r="BI13" s="491">
        <v>4865.954167387863</v>
      </c>
      <c r="BJ13" s="491">
        <v>7004.945850948815</v>
      </c>
      <c r="BK13" s="492">
        <f>BI13*'Carbon Calc 041118'!$CJ$9*'Carbon Calc 041118'!$CJ$11</f>
        <v>10727579.87650663</v>
      </c>
      <c r="BL13" s="493">
        <f>BJ13*'Carbon Calc 041118'!$CJ$9*'Carbon Calc 041118'!$CJ$11</f>
        <v>15443243.721918777</v>
      </c>
      <c r="BM13" s="491">
        <v>11200</v>
      </c>
      <c r="BN13" s="494">
        <f t="shared" si="0"/>
        <v>0.95781963183094909</v>
      </c>
      <c r="BO13" s="495">
        <f t="shared" si="0"/>
        <v>1.3788610465998909</v>
      </c>
      <c r="BQ13" s="496" t="s">
        <v>62</v>
      </c>
      <c r="BR13" s="497">
        <f>'Carbon Calc 041118'!BD14</f>
        <v>976.64861814141341</v>
      </c>
      <c r="BS13" s="498">
        <f>'Carbon Calc 041118'!BO13</f>
        <v>1.3788610465998909</v>
      </c>
      <c r="BT13" s="499">
        <f>'Carbon Calc 041118'!BN13</f>
        <v>0.95781963183094909</v>
      </c>
      <c r="BU13" s="500">
        <v>2720</v>
      </c>
      <c r="BV13" s="474"/>
      <c r="BW13" s="477" t="str">
        <f t="shared" si="1"/>
        <v>AZ</v>
      </c>
      <c r="BX13" s="501">
        <f t="shared" si="2"/>
        <v>932.22500000000002</v>
      </c>
      <c r="BY13" s="501">
        <f t="shared" si="3"/>
        <v>0.23799999999999999</v>
      </c>
      <c r="BZ13" s="501">
        <f t="shared" si="4"/>
        <v>0.625</v>
      </c>
      <c r="CA13" s="502">
        <f t="shared" si="5"/>
        <v>5544.3062551643889</v>
      </c>
      <c r="CB13" s="476"/>
      <c r="CD13" s="477" t="s">
        <v>279</v>
      </c>
      <c r="CE13" s="478">
        <v>4</v>
      </c>
      <c r="CF13" s="479">
        <v>101</v>
      </c>
      <c r="CG13" s="480">
        <v>0.25</v>
      </c>
      <c r="CP13" s="477" t="s">
        <v>73</v>
      </c>
      <c r="CQ13" s="482" t="s">
        <v>280</v>
      </c>
      <c r="CR13" s="413"/>
      <c r="CU13" s="482" t="s">
        <v>72</v>
      </c>
      <c r="CV13" s="482" t="s">
        <v>72</v>
      </c>
      <c r="CW13" s="482" t="s">
        <v>590</v>
      </c>
      <c r="CX13" s="482" t="s">
        <v>590</v>
      </c>
      <c r="CY13" s="482" t="s">
        <v>591</v>
      </c>
      <c r="CZ13" s="482" t="s">
        <v>591</v>
      </c>
      <c r="DA13" s="482" t="s">
        <v>62</v>
      </c>
    </row>
    <row r="14" spans="2:105" ht="15" customHeight="1" x14ac:dyDescent="0.25">
      <c r="B14" s="696"/>
      <c r="C14" s="709"/>
      <c r="D14" s="709"/>
      <c r="E14" s="701"/>
      <c r="F14" s="714" t="s">
        <v>511</v>
      </c>
      <c r="G14" s="708">
        <f>+'CHP Payback'!C37/0.8</f>
        <v>45006.729857819904</v>
      </c>
      <c r="H14" s="708"/>
      <c r="I14" s="708">
        <f>+'CHP Payback'!D37/0.8</f>
        <v>47868.309210526313</v>
      </c>
      <c r="J14" s="708"/>
      <c r="K14" s="708">
        <f>+'CHP Payback'!E37/0.8</f>
        <v>61004.407536319617</v>
      </c>
      <c r="L14" s="708"/>
      <c r="M14" s="708">
        <f>+'CHP Payback'!F37/0.8</f>
        <v>32389.999999999993</v>
      </c>
      <c r="N14" s="697"/>
      <c r="O14" s="697"/>
      <c r="P14" s="697"/>
      <c r="Q14" s="697"/>
      <c r="R14" s="699"/>
      <c r="T14" s="258">
        <v>5</v>
      </c>
      <c r="U14" s="259" t="s">
        <v>280</v>
      </c>
      <c r="V14" s="484">
        <v>106792.9</v>
      </c>
      <c r="W14" s="484">
        <v>807555205.26900005</v>
      </c>
      <c r="X14" s="484">
        <v>197323836.96399999</v>
      </c>
      <c r="Y14" s="484">
        <v>46856.781999999999</v>
      </c>
      <c r="Z14" s="484">
        <v>3611.393</v>
      </c>
      <c r="AA14" s="484">
        <v>44648567.221000001</v>
      </c>
      <c r="AB14" s="484">
        <v>0.47499999999999998</v>
      </c>
      <c r="AC14" s="484">
        <v>3.6999999999999998E-2</v>
      </c>
      <c r="AD14" s="484">
        <v>452.541</v>
      </c>
      <c r="AE14" s="484">
        <v>0.11600000000000001</v>
      </c>
      <c r="AF14" s="484">
        <v>0.113</v>
      </c>
      <c r="AG14" s="484">
        <v>8.9999999999999993E-3</v>
      </c>
      <c r="AH14" s="484">
        <v>110.577</v>
      </c>
      <c r="AI14" s="484">
        <v>0.64800000000000002</v>
      </c>
      <c r="AJ14" s="484">
        <v>0.01</v>
      </c>
      <c r="AK14" s="484">
        <v>867.42100000000005</v>
      </c>
      <c r="AL14" s="484">
        <v>8.7999999999999995E-2</v>
      </c>
      <c r="AM14" s="484">
        <v>1E-3</v>
      </c>
      <c r="AN14" s="484">
        <v>117.89700000000001</v>
      </c>
      <c r="AO14" s="484">
        <v>318875.815</v>
      </c>
      <c r="AP14" s="484">
        <v>174814.33</v>
      </c>
      <c r="AQ14" s="484">
        <v>97006836.053000003</v>
      </c>
      <c r="AR14" s="484">
        <v>1426815.666</v>
      </c>
      <c r="AS14" s="484">
        <v>0.16160025120690599</v>
      </c>
      <c r="AT14" s="484">
        <v>8.8592606631415396E-2</v>
      </c>
      <c r="AU14" s="484">
        <v>49.1612356206819</v>
      </c>
      <c r="AV14" s="484">
        <v>0.72308327946272499</v>
      </c>
      <c r="AW14" s="484">
        <v>53.481740232248299</v>
      </c>
      <c r="AX14" s="260">
        <v>4092.537514442979</v>
      </c>
      <c r="AY14" s="261">
        <v>7652.2145921054962</v>
      </c>
      <c r="BA14" s="481" t="s">
        <v>62</v>
      </c>
      <c r="BB14" s="504">
        <v>443</v>
      </c>
      <c r="BC14" s="505">
        <v>450</v>
      </c>
      <c r="BD14" s="506">
        <f>BB14*1000/'Carbon Calc 041118'!$CJ$12</f>
        <v>976.64861814141341</v>
      </c>
      <c r="BE14" s="506">
        <f>BC14*1000/'Carbon Calc 041118'!$CJ$12</f>
        <v>992.08098908269994</v>
      </c>
      <c r="BF14" s="507">
        <f t="shared" si="6"/>
        <v>1.5801354401805856E-2</v>
      </c>
      <c r="BH14" s="490" t="s">
        <v>63</v>
      </c>
      <c r="BI14" s="491">
        <v>3063.0639999999999</v>
      </c>
      <c r="BJ14" s="491">
        <v>3269.4462551396086</v>
      </c>
      <c r="BK14" s="492">
        <f>BI14*'Carbon Calc 041118'!$CJ$9*'Carbon Calc 041118'!$CJ$11</f>
        <v>6752892.1556799989</v>
      </c>
      <c r="BL14" s="493">
        <f>BJ14*'Carbon Calc 041118'!$CJ$9*'Carbon Calc 041118'!$CJ$11</f>
        <v>7207886.6030058833</v>
      </c>
      <c r="BM14" s="491">
        <v>41300</v>
      </c>
      <c r="BN14" s="494">
        <f t="shared" si="0"/>
        <v>0.16350828464116218</v>
      </c>
      <c r="BO14" s="495">
        <f t="shared" si="0"/>
        <v>0.17452509934638943</v>
      </c>
      <c r="BQ14" s="496" t="s">
        <v>63</v>
      </c>
      <c r="BR14" s="497">
        <f>'Carbon Calc 041118'!BD15</f>
        <v>44.974338171749061</v>
      </c>
      <c r="BS14" s="498">
        <f>'Carbon Calc 041118'!BO14</f>
        <v>0.17452509934638943</v>
      </c>
      <c r="BT14" s="499">
        <f>'Carbon Calc 041118'!BN14</f>
        <v>0.16350828464116218</v>
      </c>
      <c r="BU14" s="508">
        <v>365</v>
      </c>
      <c r="BV14" s="439"/>
      <c r="BW14" s="477" t="str">
        <f t="shared" si="1"/>
        <v>CA</v>
      </c>
      <c r="BX14" s="501">
        <f t="shared" si="2"/>
        <v>452.541</v>
      </c>
      <c r="BY14" s="501">
        <f t="shared" si="3"/>
        <v>3.6999999999999998E-2</v>
      </c>
      <c r="BZ14" s="501">
        <f t="shared" si="4"/>
        <v>0.47499999999999998</v>
      </c>
      <c r="CA14" s="502">
        <f t="shared" si="5"/>
        <v>4092.537514442979</v>
      </c>
      <c r="CB14" s="476"/>
      <c r="CD14" s="477" t="s">
        <v>281</v>
      </c>
      <c r="CE14" s="478">
        <v>108</v>
      </c>
      <c r="CF14" s="479">
        <v>275</v>
      </c>
      <c r="CG14" s="480">
        <v>0.93</v>
      </c>
      <c r="CP14" s="477" t="s">
        <v>74</v>
      </c>
      <c r="CQ14" s="482" t="s">
        <v>282</v>
      </c>
      <c r="CR14" s="413"/>
      <c r="CU14" s="482" t="s">
        <v>73</v>
      </c>
      <c r="CV14" s="482" t="s">
        <v>73</v>
      </c>
      <c r="CW14" s="482" t="s">
        <v>592</v>
      </c>
      <c r="CX14" s="482" t="s">
        <v>592</v>
      </c>
      <c r="CY14" s="482" t="s">
        <v>593</v>
      </c>
      <c r="CZ14" s="482" t="s">
        <v>593</v>
      </c>
      <c r="DA14" s="482" t="s">
        <v>63</v>
      </c>
    </row>
    <row r="15" spans="2:105" ht="15" customHeight="1" x14ac:dyDescent="0.25">
      <c r="B15" s="696"/>
      <c r="C15" s="709" t="s">
        <v>283</v>
      </c>
      <c r="D15" s="709"/>
      <c r="E15" s="712"/>
      <c r="F15" s="715"/>
      <c r="G15" s="716">
        <f>+G12-G14</f>
        <v>36086.477093206944</v>
      </c>
      <c r="H15" s="717"/>
      <c r="I15" s="716">
        <f>+I12-I14</f>
        <v>57048.532894736847</v>
      </c>
      <c r="J15" s="717"/>
      <c r="K15" s="716">
        <f>+K12-K14</f>
        <v>55890.265587167072</v>
      </c>
      <c r="L15" s="717"/>
      <c r="M15" s="716">
        <f>+M12-M14</f>
        <v>33210.000000000007</v>
      </c>
      <c r="N15" s="713"/>
      <c r="O15" s="712"/>
      <c r="P15" s="713"/>
      <c r="Q15" s="712"/>
      <c r="R15" s="699"/>
      <c r="T15" s="258">
        <v>6</v>
      </c>
      <c r="U15" s="259" t="s">
        <v>282</v>
      </c>
      <c r="V15" s="484">
        <v>19872.599999999999</v>
      </c>
      <c r="W15" s="484">
        <v>428759600.787</v>
      </c>
      <c r="X15" s="484">
        <v>54418479.931000002</v>
      </c>
      <c r="Y15" s="484">
        <v>30470.564999999999</v>
      </c>
      <c r="Z15" s="484">
        <v>19169.741000000002</v>
      </c>
      <c r="AA15" s="484">
        <v>39953305.880999997</v>
      </c>
      <c r="AB15" s="484">
        <v>1.1200000000000001</v>
      </c>
      <c r="AC15" s="484">
        <v>0.70499999999999996</v>
      </c>
      <c r="AD15" s="484">
        <v>1468.373</v>
      </c>
      <c r="AE15" s="484">
        <v>0.14199999999999999</v>
      </c>
      <c r="AF15" s="484">
        <v>0.13800000000000001</v>
      </c>
      <c r="AG15" s="484">
        <v>8.8999999999999996E-2</v>
      </c>
      <c r="AH15" s="484">
        <v>186.36699999999999</v>
      </c>
      <c r="AI15" s="484">
        <v>1.4039999999999999</v>
      </c>
      <c r="AJ15" s="484">
        <v>0.89800000000000002</v>
      </c>
      <c r="AK15" s="484">
        <v>1874.1980000000001</v>
      </c>
      <c r="AL15" s="484">
        <v>0.14000000000000001</v>
      </c>
      <c r="AM15" s="484">
        <v>0.09</v>
      </c>
      <c r="AN15" s="484">
        <v>187.23599999999999</v>
      </c>
      <c r="AO15" s="484">
        <v>29948675.006999999</v>
      </c>
      <c r="AP15" s="484">
        <v>6974.5050000000001</v>
      </c>
      <c r="AQ15" s="484">
        <v>12679439.377</v>
      </c>
      <c r="AR15" s="484">
        <v>0</v>
      </c>
      <c r="AS15" s="484">
        <v>55.034016082528098</v>
      </c>
      <c r="AT15" s="484">
        <v>1.2816427446221201E-2</v>
      </c>
      <c r="AU15" s="484">
        <v>23.299877888693199</v>
      </c>
      <c r="AV15" s="484">
        <v>0</v>
      </c>
      <c r="AW15" s="484">
        <v>78.743070238564101</v>
      </c>
      <c r="AX15" s="260">
        <v>7878.9337984200665</v>
      </c>
      <c r="AY15" s="261">
        <v>10005.875783028932</v>
      </c>
      <c r="BA15" s="481" t="s">
        <v>63</v>
      </c>
      <c r="BB15" s="504">
        <v>20.399999999999999</v>
      </c>
      <c r="BC15" s="505">
        <v>21</v>
      </c>
      <c r="BD15" s="506">
        <f>BB15*1000/'Carbon Calc 041118'!$CJ$12</f>
        <v>44.974338171749061</v>
      </c>
      <c r="BE15" s="506">
        <f>BC15*1000/'Carbon Calc 041118'!$CJ$12</f>
        <v>46.297112823859329</v>
      </c>
      <c r="BF15" s="507">
        <f t="shared" si="6"/>
        <v>2.941176470588247E-2</v>
      </c>
      <c r="BH15" s="490" t="s">
        <v>64</v>
      </c>
      <c r="BI15" s="491">
        <v>65035.813008830861</v>
      </c>
      <c r="BJ15" s="491">
        <v>18433.879842248083</v>
      </c>
      <c r="BK15" s="492">
        <f>BI15*'Carbon Calc 041118'!$CJ$9*'Carbon Calc 041118'!$CJ$11</f>
        <v>143379254.07552868</v>
      </c>
      <c r="BL15" s="493">
        <f>BJ15*'Carbon Calc 041118'!$CJ$9*'Carbon Calc 041118'!$CJ$11</f>
        <v>40639700.177816965</v>
      </c>
      <c r="BM15" s="491">
        <v>11400</v>
      </c>
      <c r="BN15" s="494">
        <f t="shared" si="0"/>
        <v>12.577127550484972</v>
      </c>
      <c r="BO15" s="495">
        <f t="shared" si="0"/>
        <v>3.5648859805102604</v>
      </c>
      <c r="BQ15" s="496" t="s">
        <v>64</v>
      </c>
      <c r="BR15" s="497">
        <f>'Carbon Calc 041118'!BD16</f>
        <v>1582.9203336919522</v>
      </c>
      <c r="BS15" s="498">
        <f>'Carbon Calc 041118'!BO15</f>
        <v>3.5648859805102604</v>
      </c>
      <c r="BT15" s="499">
        <f>'Carbon Calc 041118'!BN15</f>
        <v>12.577127550484972</v>
      </c>
      <c r="BU15" s="500">
        <v>5979</v>
      </c>
      <c r="BV15" s="474"/>
      <c r="BW15" s="477" t="str">
        <f t="shared" si="1"/>
        <v>CO</v>
      </c>
      <c r="BX15" s="501">
        <f t="shared" si="2"/>
        <v>1468.373</v>
      </c>
      <c r="BY15" s="501">
        <f t="shared" si="3"/>
        <v>0.70499999999999996</v>
      </c>
      <c r="BZ15" s="501">
        <f t="shared" si="4"/>
        <v>1.1200000000000001</v>
      </c>
      <c r="CA15" s="502">
        <f t="shared" si="5"/>
        <v>7878.9337984200665</v>
      </c>
      <c r="CB15" s="476"/>
      <c r="CD15" s="477" t="s">
        <v>284</v>
      </c>
      <c r="CE15" s="478">
        <v>13</v>
      </c>
      <c r="CF15" s="479">
        <v>192</v>
      </c>
      <c r="CG15" s="480">
        <v>0.36</v>
      </c>
      <c r="CP15" s="477" t="s">
        <v>75</v>
      </c>
      <c r="CQ15" s="482" t="s">
        <v>285</v>
      </c>
      <c r="CR15" s="413"/>
      <c r="CU15" s="482" t="s">
        <v>74</v>
      </c>
      <c r="CV15" s="482" t="s">
        <v>74</v>
      </c>
      <c r="CW15" s="482" t="s">
        <v>594</v>
      </c>
      <c r="CX15" s="482" t="s">
        <v>594</v>
      </c>
      <c r="CY15" s="482" t="s">
        <v>595</v>
      </c>
      <c r="CZ15" s="482" t="s">
        <v>595</v>
      </c>
      <c r="DA15" s="482" t="s">
        <v>64</v>
      </c>
    </row>
    <row r="16" spans="2:105" ht="15" customHeight="1" x14ac:dyDescent="0.25">
      <c r="B16" s="696"/>
      <c r="C16" s="709"/>
      <c r="D16" s="709"/>
      <c r="E16" s="701"/>
      <c r="F16" s="697"/>
      <c r="G16" s="697"/>
      <c r="H16" s="697"/>
      <c r="I16" s="697"/>
      <c r="J16" s="697"/>
      <c r="K16" s="697"/>
      <c r="L16" s="697"/>
      <c r="M16" s="697"/>
      <c r="N16" s="697"/>
      <c r="O16" s="697"/>
      <c r="P16" s="697"/>
      <c r="Q16" s="697"/>
      <c r="R16" s="699"/>
      <c r="T16" s="258">
        <v>7</v>
      </c>
      <c r="U16" s="259" t="s">
        <v>285</v>
      </c>
      <c r="V16" s="484">
        <v>11788.5</v>
      </c>
      <c r="W16" s="484">
        <v>161091277.046</v>
      </c>
      <c r="X16" s="484">
        <v>36496559.656000003</v>
      </c>
      <c r="Y16" s="484">
        <v>5854.1629999999996</v>
      </c>
      <c r="Z16" s="484">
        <v>635.03</v>
      </c>
      <c r="AA16" s="484">
        <v>9096160.0840000007</v>
      </c>
      <c r="AB16" s="484">
        <v>0.32100000000000001</v>
      </c>
      <c r="AC16" s="484">
        <v>3.5000000000000003E-2</v>
      </c>
      <c r="AD16" s="484">
        <v>498.46699999999998</v>
      </c>
      <c r="AE16" s="484">
        <v>7.2999999999999995E-2</v>
      </c>
      <c r="AF16" s="484">
        <v>7.5999999999999998E-2</v>
      </c>
      <c r="AG16" s="484">
        <v>8.0000000000000002E-3</v>
      </c>
      <c r="AH16" s="484">
        <v>112.932</v>
      </c>
      <c r="AI16" s="484">
        <v>0.26600000000000001</v>
      </c>
      <c r="AJ16" s="484">
        <v>4.5999999999999999E-2</v>
      </c>
      <c r="AK16" s="484">
        <v>880.13900000000001</v>
      </c>
      <c r="AL16" s="484">
        <v>3.5999999999999997E-2</v>
      </c>
      <c r="AM16" s="484">
        <v>6.0000000000000001E-3</v>
      </c>
      <c r="AN16" s="484">
        <v>119.33499999999999</v>
      </c>
      <c r="AO16" s="484">
        <v>177370.48</v>
      </c>
      <c r="AP16" s="484">
        <v>91734.540999999997</v>
      </c>
      <c r="AQ16" s="484">
        <v>17951503.427999999</v>
      </c>
      <c r="AR16" s="484">
        <v>0</v>
      </c>
      <c r="AS16" s="484">
        <v>0.48599232463216901</v>
      </c>
      <c r="AT16" s="484">
        <v>0.25135119908146503</v>
      </c>
      <c r="AU16" s="484">
        <v>49.186836961912</v>
      </c>
      <c r="AV16" s="484">
        <v>0</v>
      </c>
      <c r="AW16" s="484">
        <v>53.851859014416299</v>
      </c>
      <c r="AX16" s="260">
        <v>4413.8756793619241</v>
      </c>
      <c r="AY16" s="261">
        <v>8196.3292026849285</v>
      </c>
      <c r="BA16" s="481" t="s">
        <v>64</v>
      </c>
      <c r="BB16" s="504">
        <v>718</v>
      </c>
      <c r="BC16" s="505">
        <v>770</v>
      </c>
      <c r="BD16" s="506">
        <f>BB16*1000/'Carbon Calc 041118'!$CJ$12</f>
        <v>1582.9203336919522</v>
      </c>
      <c r="BE16" s="506">
        <f>BC16*1000/'Carbon Calc 041118'!$CJ$12</f>
        <v>1697.5608035415087</v>
      </c>
      <c r="BF16" s="507">
        <f t="shared" si="6"/>
        <v>7.2423398328690824E-2</v>
      </c>
      <c r="BH16" s="490" t="s">
        <v>65</v>
      </c>
      <c r="BI16" s="491">
        <v>11970.557780341796</v>
      </c>
      <c r="BJ16" s="491">
        <v>18987.876697569071</v>
      </c>
      <c r="BK16" s="492">
        <f>BI16*'Carbon Calc 041118'!$CJ$9*'Carbon Calc 041118'!$CJ$11</f>
        <v>26390531.093697131</v>
      </c>
      <c r="BL16" s="493">
        <f>BJ16*'Carbon Calc 041118'!$CJ$9*'Carbon Calc 041118'!$CJ$11</f>
        <v>41861052.724994719</v>
      </c>
      <c r="BM16" s="491">
        <v>151000</v>
      </c>
      <c r="BN16" s="494">
        <f t="shared" si="0"/>
        <v>0.17477172909733199</v>
      </c>
      <c r="BO16" s="495">
        <f t="shared" si="0"/>
        <v>0.27722551473506435</v>
      </c>
      <c r="BQ16" s="496" t="s">
        <v>65</v>
      </c>
      <c r="BR16" s="497">
        <f>'Carbon Calc 041118'!BD17</f>
        <v>216.05319317801019</v>
      </c>
      <c r="BS16" s="498">
        <f>'Carbon Calc 041118'!BO16</f>
        <v>0.27722551473506435</v>
      </c>
      <c r="BT16" s="499">
        <f>'Carbon Calc 041118'!BN16</f>
        <v>0.17477172909733199</v>
      </c>
      <c r="BU16" s="500">
        <v>2686</v>
      </c>
      <c r="BV16" s="474"/>
      <c r="BW16" s="477" t="str">
        <f t="shared" si="1"/>
        <v>CT</v>
      </c>
      <c r="BX16" s="501">
        <f t="shared" si="2"/>
        <v>498.46699999999998</v>
      </c>
      <c r="BY16" s="501">
        <f t="shared" si="3"/>
        <v>3.5000000000000003E-2</v>
      </c>
      <c r="BZ16" s="501">
        <f t="shared" si="4"/>
        <v>0.32100000000000001</v>
      </c>
      <c r="CA16" s="502">
        <f t="shared" si="5"/>
        <v>4413.8756793619241</v>
      </c>
      <c r="CB16" s="476"/>
      <c r="CD16" s="477" t="s">
        <v>286</v>
      </c>
      <c r="CE16" s="478">
        <v>62</v>
      </c>
      <c r="CF16" s="479">
        <v>167</v>
      </c>
      <c r="CG16" s="480">
        <v>0.37</v>
      </c>
      <c r="CP16" s="477" t="s">
        <v>287</v>
      </c>
      <c r="CQ16" s="482" t="s">
        <v>288</v>
      </c>
      <c r="CR16" s="413"/>
      <c r="CS16" s="681" t="s">
        <v>679</v>
      </c>
      <c r="CU16" s="482" t="s">
        <v>75</v>
      </c>
      <c r="CV16" s="482" t="s">
        <v>75</v>
      </c>
      <c r="CW16" s="482" t="s">
        <v>596</v>
      </c>
      <c r="CX16" s="482" t="s">
        <v>596</v>
      </c>
      <c r="CY16" s="482" t="s">
        <v>597</v>
      </c>
      <c r="CZ16" s="482" t="s">
        <v>597</v>
      </c>
      <c r="DA16" s="482" t="s">
        <v>65</v>
      </c>
    </row>
    <row r="17" spans="2:105" ht="15" customHeight="1" x14ac:dyDescent="0.25">
      <c r="B17" s="696"/>
      <c r="C17" s="709" t="s">
        <v>289</v>
      </c>
      <c r="D17" s="709"/>
      <c r="E17" s="712"/>
      <c r="F17" s="715"/>
      <c r="G17" s="712"/>
      <c r="H17" s="713"/>
      <c r="I17" s="712"/>
      <c r="J17" s="713"/>
      <c r="K17" s="712"/>
      <c r="L17" s="713"/>
      <c r="M17" s="712"/>
      <c r="N17" s="713"/>
      <c r="O17" s="712"/>
      <c r="P17" s="713"/>
      <c r="Q17" s="712"/>
      <c r="R17" s="699"/>
      <c r="T17" s="258">
        <v>8</v>
      </c>
      <c r="U17" s="259" t="s">
        <v>288</v>
      </c>
      <c r="V17" s="484">
        <v>24.9</v>
      </c>
      <c r="W17" s="484">
        <v>763190.85199999996</v>
      </c>
      <c r="X17" s="484">
        <v>76473.998999999996</v>
      </c>
      <c r="Y17" s="484">
        <v>175.036</v>
      </c>
      <c r="Z17" s="484">
        <v>3.7530000000000001</v>
      </c>
      <c r="AA17" s="484">
        <v>18422.038</v>
      </c>
      <c r="AB17" s="484">
        <v>4.5780000000000003</v>
      </c>
      <c r="AC17" s="484">
        <v>9.8000000000000004E-2</v>
      </c>
      <c r="AD17" s="484">
        <v>481.786</v>
      </c>
      <c r="AE17" s="484">
        <v>0.45900000000000002</v>
      </c>
      <c r="AF17" s="484">
        <v>0.44800000000000001</v>
      </c>
      <c r="AG17" s="484">
        <v>0.01</v>
      </c>
      <c r="AH17" s="484">
        <v>48.276000000000003</v>
      </c>
      <c r="AI17" s="484">
        <v>3.9969999999999999</v>
      </c>
      <c r="AJ17" s="484">
        <v>0.19400000000000001</v>
      </c>
      <c r="AK17" s="484">
        <v>1555.0260000000001</v>
      </c>
      <c r="AL17" s="484">
        <v>0.3</v>
      </c>
      <c r="AM17" s="484">
        <v>1.4999999999999999E-2</v>
      </c>
      <c r="AN17" s="484">
        <v>116.889</v>
      </c>
      <c r="AO17" s="484">
        <v>0</v>
      </c>
      <c r="AP17" s="484">
        <v>1000.597</v>
      </c>
      <c r="AQ17" s="484">
        <v>22702.026000000002</v>
      </c>
      <c r="AR17" s="484">
        <v>0</v>
      </c>
      <c r="AS17" s="484">
        <v>0</v>
      </c>
      <c r="AT17" s="484">
        <v>1.3084146245782899</v>
      </c>
      <c r="AU17" s="484">
        <v>29.685940319585701</v>
      </c>
      <c r="AV17" s="484">
        <v>0</v>
      </c>
      <c r="AW17" s="484">
        <v>100</v>
      </c>
      <c r="AX17" s="260">
        <v>9979.7429450498585</v>
      </c>
      <c r="AY17" s="261">
        <v>9979.7428145513368</v>
      </c>
      <c r="BA17" s="481" t="s">
        <v>65</v>
      </c>
      <c r="BB17" s="504">
        <v>98</v>
      </c>
      <c r="BC17" s="505">
        <v>110</v>
      </c>
      <c r="BD17" s="506">
        <f>BB17*1000/'Carbon Calc 041118'!$CJ$12</f>
        <v>216.05319317801019</v>
      </c>
      <c r="BE17" s="506">
        <f>BC17*1000/'Carbon Calc 041118'!$CJ$12</f>
        <v>242.50868622021554</v>
      </c>
      <c r="BF17" s="507">
        <f t="shared" si="6"/>
        <v>0.12244897959183665</v>
      </c>
      <c r="BH17" s="490" t="s">
        <v>66</v>
      </c>
      <c r="BI17" s="491">
        <v>65.63</v>
      </c>
      <c r="BJ17" s="491">
        <v>26.841000000000001</v>
      </c>
      <c r="BK17" s="492">
        <f>BI17*'Carbon Calc 041118'!$CJ$9*'Carbon Calc 041118'!$CJ$11</f>
        <v>144689.21059999996</v>
      </c>
      <c r="BL17" s="493">
        <f>BJ17*'Carbon Calc 041118'!$CJ$9*'Carbon Calc 041118'!$CJ$11</f>
        <v>59174.205419999998</v>
      </c>
      <c r="BM17" s="491">
        <v>492</v>
      </c>
      <c r="BN17" s="494">
        <f t="shared" si="0"/>
        <v>0.29408376138211373</v>
      </c>
      <c r="BO17" s="495">
        <f t="shared" si="0"/>
        <v>0.12027277524390242</v>
      </c>
      <c r="BQ17" s="496" t="s">
        <v>66</v>
      </c>
      <c r="BR17" s="497">
        <f>'Carbon Calc 041118'!BD18</f>
        <v>4.2328788867528528</v>
      </c>
      <c r="BS17" s="498">
        <f>'Carbon Calc 041118'!BO17</f>
        <v>0.12027277524390242</v>
      </c>
      <c r="BT17" s="499">
        <f>'Carbon Calc 041118'!BN17</f>
        <v>0.29408376138211373</v>
      </c>
      <c r="BU17" s="500">
        <v>7864</v>
      </c>
      <c r="BV17" s="474"/>
      <c r="BW17" s="477" t="str">
        <f t="shared" si="1"/>
        <v>DC</v>
      </c>
      <c r="BX17" s="501">
        <f t="shared" si="2"/>
        <v>481.786</v>
      </c>
      <c r="BY17" s="501">
        <f t="shared" si="3"/>
        <v>9.8000000000000004E-2</v>
      </c>
      <c r="BZ17" s="501">
        <f t="shared" si="4"/>
        <v>4.5780000000000003</v>
      </c>
      <c r="CA17" s="502">
        <f t="shared" si="5"/>
        <v>9979.7429450498585</v>
      </c>
      <c r="CB17" s="476"/>
      <c r="CD17" s="510" t="s">
        <v>290</v>
      </c>
      <c r="CE17" s="511">
        <v>8</v>
      </c>
      <c r="CF17" s="512">
        <v>76</v>
      </c>
      <c r="CG17" s="513">
        <v>0.64</v>
      </c>
      <c r="CP17" s="477" t="s">
        <v>121</v>
      </c>
      <c r="CQ17" s="482" t="s">
        <v>291</v>
      </c>
      <c r="CR17" s="413"/>
      <c r="CS17" s="791" t="s">
        <v>696</v>
      </c>
      <c r="CU17" s="482" t="s">
        <v>287</v>
      </c>
      <c r="CV17" s="482" t="s">
        <v>287</v>
      </c>
      <c r="CW17" s="482" t="s">
        <v>598</v>
      </c>
      <c r="CX17" s="482" t="s">
        <v>598</v>
      </c>
      <c r="CY17" s="482" t="s">
        <v>599</v>
      </c>
      <c r="CZ17" s="482" t="s">
        <v>599</v>
      </c>
      <c r="DA17" s="482" t="s">
        <v>66</v>
      </c>
    </row>
    <row r="18" spans="2:105" s="420" customFormat="1" ht="15" customHeight="1" x14ac:dyDescent="0.25">
      <c r="B18" s="696"/>
      <c r="C18" s="709"/>
      <c r="D18" s="709"/>
      <c r="E18" s="701"/>
      <c r="F18" s="697"/>
      <c r="G18" s="697"/>
      <c r="H18" s="697"/>
      <c r="I18" s="697"/>
      <c r="J18" s="697"/>
      <c r="K18" s="697"/>
      <c r="L18" s="697"/>
      <c r="M18" s="697"/>
      <c r="N18" s="697"/>
      <c r="O18" s="697"/>
      <c r="P18" s="697"/>
      <c r="Q18" s="697"/>
      <c r="R18" s="699"/>
      <c r="T18" s="262">
        <v>9</v>
      </c>
      <c r="U18" s="263" t="s">
        <v>291</v>
      </c>
      <c r="V18" s="484">
        <v>4010.7</v>
      </c>
      <c r="W18" s="484">
        <v>63609070.281999998</v>
      </c>
      <c r="X18" s="484">
        <v>8731261.0030000005</v>
      </c>
      <c r="Y18" s="484">
        <v>1731.8720000000001</v>
      </c>
      <c r="Z18" s="484">
        <v>526.43299999999999</v>
      </c>
      <c r="AA18" s="484">
        <v>3874126.1430000002</v>
      </c>
      <c r="AB18" s="484">
        <v>0.39700000000000002</v>
      </c>
      <c r="AC18" s="484">
        <v>0.121</v>
      </c>
      <c r="AD18" s="484">
        <v>887.41499999999996</v>
      </c>
      <c r="AE18" s="484">
        <v>5.3999999999999999E-2</v>
      </c>
      <c r="AF18" s="484">
        <v>5.1999999999999998E-2</v>
      </c>
      <c r="AG18" s="484">
        <v>1.7000000000000001E-2</v>
      </c>
      <c r="AH18" s="484">
        <v>121.81</v>
      </c>
      <c r="AI18" s="484">
        <v>0.33300000000000002</v>
      </c>
      <c r="AJ18" s="484">
        <v>0.14000000000000001</v>
      </c>
      <c r="AK18" s="484">
        <v>1039.9649999999999</v>
      </c>
      <c r="AL18" s="484">
        <v>3.9E-2</v>
      </c>
      <c r="AM18" s="484">
        <v>1.7000000000000001E-2</v>
      </c>
      <c r="AN18" s="484">
        <v>123.116</v>
      </c>
      <c r="AO18" s="484">
        <v>479349.83</v>
      </c>
      <c r="AP18" s="484">
        <v>62571.360999999997</v>
      </c>
      <c r="AQ18" s="484">
        <v>7787468.5379999997</v>
      </c>
      <c r="AR18" s="484">
        <v>277477.31</v>
      </c>
      <c r="AS18" s="484">
        <v>5.4900415021847397</v>
      </c>
      <c r="AT18" s="484">
        <v>0.71663604999752195</v>
      </c>
      <c r="AU18" s="484">
        <v>89.190655331155398</v>
      </c>
      <c r="AV18" s="484">
        <v>3.1779753584445398</v>
      </c>
      <c r="AW18" s="484">
        <v>99.353970146406297</v>
      </c>
      <c r="AX18" s="264">
        <v>7285.2100355429029</v>
      </c>
      <c r="AY18" s="265">
        <v>7332.581043557544</v>
      </c>
      <c r="BA18" s="514" t="s">
        <v>66</v>
      </c>
      <c r="BB18" s="515">
        <v>1.92</v>
      </c>
      <c r="BC18" s="516">
        <v>2.04</v>
      </c>
      <c r="BD18" s="517">
        <f>BB18*1000/'Carbon Calc 041118'!$CJ$12</f>
        <v>4.2328788867528528</v>
      </c>
      <c r="BE18" s="517">
        <f>BC18*1000/'Carbon Calc 041118'!$CJ$12</f>
        <v>4.4974338171749064</v>
      </c>
      <c r="BF18" s="518">
        <f t="shared" si="6"/>
        <v>6.25E-2</v>
      </c>
      <c r="BH18" s="519" t="s">
        <v>67</v>
      </c>
      <c r="BI18" s="520">
        <v>1622.9466400000001</v>
      </c>
      <c r="BJ18" s="520">
        <v>8275.0073475669069</v>
      </c>
      <c r="BK18" s="521">
        <f>BI18*'Carbon Calc 041118'!$CJ$9*'Carbon Calc 041118'!$CJ$11</f>
        <v>3577980.6214768002</v>
      </c>
      <c r="BL18" s="522">
        <f>BJ18*'Carbon Calc 041118'!$CJ$9*'Carbon Calc 041118'!$CJ$11</f>
        <v>18243246.698592953</v>
      </c>
      <c r="BM18" s="520">
        <v>177000</v>
      </c>
      <c r="BN18" s="523">
        <f t="shared" si="0"/>
        <v>2.0214579782354802E-2</v>
      </c>
      <c r="BO18" s="524">
        <f t="shared" si="0"/>
        <v>0.1030691903875308</v>
      </c>
      <c r="BQ18" s="525" t="s">
        <v>67</v>
      </c>
      <c r="BR18" s="526">
        <f>'Carbon Calc 041118'!BD19</f>
        <v>4.4092488403675549</v>
      </c>
      <c r="BS18" s="527">
        <f>'Carbon Calc 041118'!BO18</f>
        <v>0.1030691903875308</v>
      </c>
      <c r="BT18" s="528">
        <f>'Carbon Calc 041118'!BN18</f>
        <v>2.0214579782354802E-2</v>
      </c>
      <c r="BU18" s="529">
        <v>101</v>
      </c>
      <c r="BV18" s="530"/>
      <c r="BW18" s="531" t="str">
        <f t="shared" si="1"/>
        <v>DE</v>
      </c>
      <c r="BX18" s="532">
        <f t="shared" si="2"/>
        <v>887.41499999999996</v>
      </c>
      <c r="BY18" s="532">
        <f t="shared" si="3"/>
        <v>0.121</v>
      </c>
      <c r="BZ18" s="532">
        <f t="shared" si="4"/>
        <v>0.39700000000000002</v>
      </c>
      <c r="CA18" s="533">
        <f t="shared" si="5"/>
        <v>7285.2100355429029</v>
      </c>
      <c r="CB18" s="534"/>
      <c r="CP18" s="531" t="s">
        <v>76</v>
      </c>
      <c r="CQ18" s="503" t="s">
        <v>292</v>
      </c>
      <c r="CR18" s="535"/>
      <c r="CS18" s="788" t="s">
        <v>699</v>
      </c>
      <c r="CU18" s="482" t="s">
        <v>121</v>
      </c>
      <c r="CV18" s="482" t="s">
        <v>121</v>
      </c>
      <c r="CW18" s="482" t="s">
        <v>600</v>
      </c>
      <c r="CX18" s="482" t="s">
        <v>600</v>
      </c>
      <c r="CY18" s="482" t="s">
        <v>601</v>
      </c>
      <c r="CZ18" s="482" t="s">
        <v>601</v>
      </c>
      <c r="DA18" s="482" t="s">
        <v>67</v>
      </c>
    </row>
    <row r="19" spans="2:105" ht="15" customHeight="1" x14ac:dyDescent="0.25">
      <c r="B19" s="696"/>
      <c r="C19" s="709" t="s">
        <v>293</v>
      </c>
      <c r="D19" s="709"/>
      <c r="E19" s="712"/>
      <c r="F19" s="715"/>
      <c r="G19" s="712"/>
      <c r="H19" s="713"/>
      <c r="I19" s="712"/>
      <c r="J19" s="713"/>
      <c r="K19" s="712"/>
      <c r="L19" s="713"/>
      <c r="M19" s="712"/>
      <c r="N19" s="713"/>
      <c r="O19" s="712"/>
      <c r="P19" s="713"/>
      <c r="Q19" s="712"/>
      <c r="R19" s="699"/>
      <c r="T19" s="258">
        <v>10</v>
      </c>
      <c r="U19" s="259" t="s">
        <v>292</v>
      </c>
      <c r="V19" s="484">
        <v>100751.4</v>
      </c>
      <c r="W19" s="484">
        <v>1743606598.221</v>
      </c>
      <c r="X19" s="484">
        <v>238226428.16</v>
      </c>
      <c r="Y19" s="484">
        <v>65083.285000000003</v>
      </c>
      <c r="Z19" s="484">
        <v>44555.072</v>
      </c>
      <c r="AA19" s="484">
        <v>121996344.001</v>
      </c>
      <c r="AB19" s="484">
        <v>0.54600000000000004</v>
      </c>
      <c r="AC19" s="484">
        <v>0.374</v>
      </c>
      <c r="AD19" s="484">
        <v>1024.2049999999999</v>
      </c>
      <c r="AE19" s="484">
        <v>7.4999999999999997E-2</v>
      </c>
      <c r="AF19" s="484">
        <v>7.3999999999999996E-2</v>
      </c>
      <c r="AG19" s="484">
        <v>5.0999999999999997E-2</v>
      </c>
      <c r="AH19" s="484">
        <v>139.93600000000001</v>
      </c>
      <c r="AI19" s="484">
        <v>0.53700000000000003</v>
      </c>
      <c r="AJ19" s="484">
        <v>0.42099999999999999</v>
      </c>
      <c r="AK19" s="484">
        <v>1193.3489999999999</v>
      </c>
      <c r="AL19" s="484">
        <v>6.5000000000000002E-2</v>
      </c>
      <c r="AM19" s="484">
        <v>5.0999999999999997E-2</v>
      </c>
      <c r="AN19" s="484">
        <v>144.39599999999999</v>
      </c>
      <c r="AO19" s="484">
        <v>39429467.861000001</v>
      </c>
      <c r="AP19" s="484">
        <v>2820303.253</v>
      </c>
      <c r="AQ19" s="484">
        <v>158459723.185</v>
      </c>
      <c r="AR19" s="484">
        <v>23789.858</v>
      </c>
      <c r="AS19" s="484">
        <v>16.551256785785199</v>
      </c>
      <c r="AT19" s="484">
        <v>1.1838750530122999</v>
      </c>
      <c r="AU19" s="484">
        <v>66.516433290075199</v>
      </c>
      <c r="AV19" s="484">
        <v>9.9862379589664499E-3</v>
      </c>
      <c r="AW19" s="484">
        <v>87.525080140752806</v>
      </c>
      <c r="AX19" s="260">
        <v>7319.1148928696593</v>
      </c>
      <c r="AY19" s="261">
        <v>8362.3058444953422</v>
      </c>
      <c r="BA19" s="481" t="s">
        <v>67</v>
      </c>
      <c r="BB19" s="504">
        <v>2</v>
      </c>
      <c r="BC19" s="505">
        <v>2</v>
      </c>
      <c r="BD19" s="506">
        <f>BB19*1000/'Carbon Calc 041118'!$CJ$12</f>
        <v>4.4092488403675549</v>
      </c>
      <c r="BE19" s="506">
        <f>BC19*1000/'Carbon Calc 041118'!$CJ$12</f>
        <v>4.4092488403675549</v>
      </c>
      <c r="BF19" s="507">
        <f t="shared" si="6"/>
        <v>0</v>
      </c>
      <c r="BH19" s="536" t="s">
        <v>68</v>
      </c>
      <c r="BI19" s="537">
        <v>91918.95660869655</v>
      </c>
      <c r="BJ19" s="537">
        <v>36803.729927236527</v>
      </c>
      <c r="BK19" s="538">
        <f>BI19*'Carbon Calc 041118'!$CJ$9*'Carbon Calc 041118'!$CJ$11</f>
        <v>202646370.11866456</v>
      </c>
      <c r="BL19" s="539">
        <f>BJ19*'Carbon Calc 041118'!$CJ$9*'Carbon Calc 041118'!$CJ$11</f>
        <v>81138239.072184175</v>
      </c>
      <c r="BM19" s="537">
        <v>20800</v>
      </c>
      <c r="BN19" s="540">
        <f t="shared" si="0"/>
        <v>9.7426139480127194</v>
      </c>
      <c r="BO19" s="541">
        <f t="shared" si="0"/>
        <v>3.9008768784703931</v>
      </c>
      <c r="BQ19" s="542" t="s">
        <v>68</v>
      </c>
      <c r="BR19" s="543">
        <f>'Carbon Calc 041118'!BD20</f>
        <v>1642.4451930369144</v>
      </c>
      <c r="BS19" s="544">
        <f>'Carbon Calc 041118'!BO19</f>
        <v>3.9008768784703931</v>
      </c>
      <c r="BT19" s="545">
        <f>'Carbon Calc 041118'!BN19</f>
        <v>9.7426139480127194</v>
      </c>
      <c r="BU19" s="546">
        <v>5711</v>
      </c>
      <c r="BV19" s="474"/>
      <c r="BW19" s="477" t="str">
        <f t="shared" si="1"/>
        <v>FL</v>
      </c>
      <c r="BX19" s="501">
        <f t="shared" si="2"/>
        <v>1024.2049999999999</v>
      </c>
      <c r="BY19" s="501">
        <f t="shared" si="3"/>
        <v>0.374</v>
      </c>
      <c r="BZ19" s="501">
        <f t="shared" si="4"/>
        <v>0.54600000000000004</v>
      </c>
      <c r="CA19" s="502">
        <f t="shared" si="5"/>
        <v>7319.1148928696593</v>
      </c>
      <c r="CB19" s="476"/>
      <c r="CP19" s="477" t="s">
        <v>77</v>
      </c>
      <c r="CQ19" s="482" t="s">
        <v>294</v>
      </c>
      <c r="CR19" s="413"/>
      <c r="CS19" s="788" t="s">
        <v>697</v>
      </c>
      <c r="CU19" s="503" t="s">
        <v>76</v>
      </c>
      <c r="CV19" s="503" t="s">
        <v>76</v>
      </c>
      <c r="CW19" s="482" t="s">
        <v>602</v>
      </c>
      <c r="CX19" s="482" t="s">
        <v>602</v>
      </c>
      <c r="CY19" s="483" t="s">
        <v>603</v>
      </c>
      <c r="CZ19" s="483" t="s">
        <v>603</v>
      </c>
      <c r="DA19" s="483" t="s">
        <v>68</v>
      </c>
    </row>
    <row r="20" spans="2:105" ht="15" customHeight="1" x14ac:dyDescent="0.25">
      <c r="B20" s="696"/>
      <c r="C20" s="697"/>
      <c r="D20" s="697"/>
      <c r="E20" s="701"/>
      <c r="F20" s="697"/>
      <c r="G20" s="697"/>
      <c r="H20" s="697"/>
      <c r="I20" s="697"/>
      <c r="J20" s="697"/>
      <c r="K20" s="697"/>
      <c r="L20" s="697"/>
      <c r="M20" s="697"/>
      <c r="N20" s="697"/>
      <c r="O20" s="697"/>
      <c r="P20" s="697"/>
      <c r="Q20" s="697"/>
      <c r="R20" s="699"/>
      <c r="T20" s="258">
        <v>11</v>
      </c>
      <c r="U20" s="259" t="s">
        <v>294</v>
      </c>
      <c r="V20" s="484">
        <v>51336.4</v>
      </c>
      <c r="W20" s="484">
        <v>843098444.07500005</v>
      </c>
      <c r="X20" s="484">
        <v>132902274.317</v>
      </c>
      <c r="Y20" s="484">
        <v>29621.081999999999</v>
      </c>
      <c r="Z20" s="484">
        <v>23887.21</v>
      </c>
      <c r="AA20" s="484">
        <v>66567670.523000002</v>
      </c>
      <c r="AB20" s="484">
        <v>0.44600000000000001</v>
      </c>
      <c r="AC20" s="484">
        <v>0.35899999999999999</v>
      </c>
      <c r="AD20" s="484">
        <v>1001.754</v>
      </c>
      <c r="AE20" s="484">
        <v>7.0000000000000007E-2</v>
      </c>
      <c r="AF20" s="484">
        <v>4.9000000000000002E-2</v>
      </c>
      <c r="AG20" s="484">
        <v>5.7000000000000002E-2</v>
      </c>
      <c r="AH20" s="484">
        <v>157.91200000000001</v>
      </c>
      <c r="AI20" s="484">
        <v>0.57499999999999996</v>
      </c>
      <c r="AJ20" s="484">
        <v>0.41099999999999998</v>
      </c>
      <c r="AK20" s="484">
        <v>1464.213</v>
      </c>
      <c r="AL20" s="484">
        <v>6.4000000000000001E-2</v>
      </c>
      <c r="AM20" s="484">
        <v>4.5999999999999999E-2</v>
      </c>
      <c r="AN20" s="484">
        <v>164.16499999999999</v>
      </c>
      <c r="AO20" s="484">
        <v>37890474.961999997</v>
      </c>
      <c r="AP20" s="484">
        <v>211845.451</v>
      </c>
      <c r="AQ20" s="484">
        <v>52862464.666000001</v>
      </c>
      <c r="AR20" s="484">
        <v>97549.43</v>
      </c>
      <c r="AS20" s="484">
        <v>28.510027372015699</v>
      </c>
      <c r="AT20" s="484">
        <v>0.15939941667936799</v>
      </c>
      <c r="AU20" s="484">
        <v>39.775440030544303</v>
      </c>
      <c r="AV20" s="484">
        <v>7.3399368105406496E-2</v>
      </c>
      <c r="AW20" s="484">
        <v>71.962032991365504</v>
      </c>
      <c r="AX20" s="260">
        <v>6343.7473016002132</v>
      </c>
      <c r="AY20" s="261">
        <v>8815.408637583585</v>
      </c>
      <c r="BA20" s="459" t="s">
        <v>68</v>
      </c>
      <c r="BB20" s="460">
        <v>745</v>
      </c>
      <c r="BC20" s="461">
        <v>790</v>
      </c>
      <c r="BD20" s="547">
        <f>BB20*1000/'Carbon Calc 041118'!$CJ$12</f>
        <v>1642.4451930369144</v>
      </c>
      <c r="BE20" s="547">
        <f>BC20*1000/'Carbon Calc 041118'!$CJ$12</f>
        <v>1741.6532919451843</v>
      </c>
      <c r="BF20" s="548">
        <f t="shared" si="6"/>
        <v>6.0402684563758413E-2</v>
      </c>
      <c r="BV20" s="413"/>
      <c r="BW20" s="477" t="str">
        <f t="shared" si="1"/>
        <v>GA</v>
      </c>
      <c r="BX20" s="501">
        <f t="shared" si="2"/>
        <v>1001.754</v>
      </c>
      <c r="BY20" s="501">
        <f t="shared" si="3"/>
        <v>0.35899999999999999</v>
      </c>
      <c r="BZ20" s="501">
        <f t="shared" si="4"/>
        <v>0.44600000000000001</v>
      </c>
      <c r="CA20" s="502">
        <f t="shared" si="5"/>
        <v>6343.7473016002132</v>
      </c>
      <c r="CB20" s="476"/>
      <c r="CP20" s="477" t="s">
        <v>78</v>
      </c>
      <c r="CQ20" s="482" t="s">
        <v>295</v>
      </c>
      <c r="CR20" s="413"/>
      <c r="CS20" s="788" t="s">
        <v>698</v>
      </c>
      <c r="CU20" s="482" t="s">
        <v>77</v>
      </c>
      <c r="CV20" s="482" t="s">
        <v>77</v>
      </c>
      <c r="CW20" s="482" t="s">
        <v>604</v>
      </c>
      <c r="CX20" s="482" t="s">
        <v>604</v>
      </c>
    </row>
    <row r="21" spans="2:105" ht="15" customHeight="1" x14ac:dyDescent="0.25">
      <c r="B21" s="696"/>
      <c r="C21" s="709" t="s">
        <v>205</v>
      </c>
      <c r="D21" s="709"/>
      <c r="E21" s="718" t="str">
        <f>+'CHP Payback'!F18</f>
        <v>US Average Fossil</v>
      </c>
      <c r="F21" s="697"/>
      <c r="G21" s="697"/>
      <c r="H21" s="697"/>
      <c r="I21" s="697"/>
      <c r="J21" s="697"/>
      <c r="K21" s="697"/>
      <c r="L21" s="697"/>
      <c r="M21" s="697"/>
      <c r="N21" s="697"/>
      <c r="O21" s="697"/>
      <c r="P21" s="697"/>
      <c r="Q21" s="697"/>
      <c r="R21" s="699"/>
      <c r="T21" s="258">
        <v>12</v>
      </c>
      <c r="U21" s="259" t="s">
        <v>295</v>
      </c>
      <c r="V21" s="484">
        <v>3501.8</v>
      </c>
      <c r="W21" s="484">
        <v>92598221.116999999</v>
      </c>
      <c r="X21" s="484">
        <v>9948844.6669999994</v>
      </c>
      <c r="Y21" s="484">
        <v>22344.850999999999</v>
      </c>
      <c r="Z21" s="484">
        <v>37331.597999999998</v>
      </c>
      <c r="AA21" s="484">
        <v>7571577.4780000001</v>
      </c>
      <c r="AB21" s="484">
        <v>4.492</v>
      </c>
      <c r="AC21" s="484">
        <v>7.5049999999999999</v>
      </c>
      <c r="AD21" s="484">
        <v>1522.1020000000001</v>
      </c>
      <c r="AE21" s="484">
        <v>0.48299999999999998</v>
      </c>
      <c r="AF21" s="484">
        <v>0.46100000000000002</v>
      </c>
      <c r="AG21" s="484">
        <v>0.80600000000000005</v>
      </c>
      <c r="AH21" s="484">
        <v>163.536</v>
      </c>
      <c r="AI21" s="484">
        <v>5.0839999999999996</v>
      </c>
      <c r="AJ21" s="484">
        <v>8.9049999999999994</v>
      </c>
      <c r="AK21" s="484">
        <v>1721.9570000000001</v>
      </c>
      <c r="AL21" s="484">
        <v>0.50900000000000001</v>
      </c>
      <c r="AM21" s="484">
        <v>0.89100000000000001</v>
      </c>
      <c r="AN21" s="484">
        <v>172.262</v>
      </c>
      <c r="AO21" s="484">
        <v>1497379.514</v>
      </c>
      <c r="AP21" s="484">
        <v>6640316.0959999999</v>
      </c>
      <c r="AQ21" s="484">
        <v>0</v>
      </c>
      <c r="AR21" s="484">
        <v>63380.048000000003</v>
      </c>
      <c r="AS21" s="484">
        <v>15.050787367524601</v>
      </c>
      <c r="AT21" s="484">
        <v>66.744592589669494</v>
      </c>
      <c r="AU21" s="484">
        <v>0</v>
      </c>
      <c r="AV21" s="484">
        <v>0.63705935393978197</v>
      </c>
      <c r="AW21" s="484">
        <v>89.158651938196599</v>
      </c>
      <c r="AX21" s="260">
        <v>9307.4346033510137</v>
      </c>
      <c r="AY21" s="261">
        <v>10439.18233700428</v>
      </c>
      <c r="BH21" s="549" t="s">
        <v>296</v>
      </c>
      <c r="BQ21" s="550" t="s">
        <v>605</v>
      </c>
      <c r="BV21" s="413"/>
      <c r="BW21" s="477" t="str">
        <f t="shared" si="1"/>
        <v>HI</v>
      </c>
      <c r="BX21" s="501">
        <f t="shared" si="2"/>
        <v>1522.1020000000001</v>
      </c>
      <c r="BY21" s="501">
        <f t="shared" si="3"/>
        <v>7.5049999999999999</v>
      </c>
      <c r="BZ21" s="501">
        <f t="shared" si="4"/>
        <v>4.492</v>
      </c>
      <c r="CA21" s="502">
        <f t="shared" si="5"/>
        <v>9307.4346033510137</v>
      </c>
      <c r="CB21" s="476"/>
      <c r="CP21" s="477" t="s">
        <v>79</v>
      </c>
      <c r="CQ21" s="482" t="s">
        <v>297</v>
      </c>
      <c r="CR21" s="413"/>
      <c r="CU21" s="482" t="s">
        <v>78</v>
      </c>
      <c r="CV21" s="482" t="s">
        <v>78</v>
      </c>
      <c r="CW21" s="482" t="s">
        <v>606</v>
      </c>
      <c r="CX21" s="482" t="s">
        <v>606</v>
      </c>
    </row>
    <row r="22" spans="2:105" ht="15" customHeight="1" x14ac:dyDescent="0.25">
      <c r="B22" s="696"/>
      <c r="C22" s="697"/>
      <c r="D22" s="697"/>
      <c r="E22" s="719"/>
      <c r="F22" s="697"/>
      <c r="G22" s="697"/>
      <c r="H22" s="697"/>
      <c r="I22" s="697"/>
      <c r="J22" s="697"/>
      <c r="K22" s="697"/>
      <c r="L22" s="697"/>
      <c r="M22" s="697"/>
      <c r="N22" s="697"/>
      <c r="O22" s="697"/>
      <c r="P22" s="697"/>
      <c r="Q22" s="697"/>
      <c r="R22" s="699"/>
      <c r="T22" s="258">
        <v>13</v>
      </c>
      <c r="U22" s="259" t="s">
        <v>297</v>
      </c>
      <c r="V22" s="484">
        <v>22303.9</v>
      </c>
      <c r="W22" s="484">
        <v>271381540.06</v>
      </c>
      <c r="X22" s="484">
        <v>54396530.723999999</v>
      </c>
      <c r="Y22" s="484">
        <v>21001.212</v>
      </c>
      <c r="Z22" s="484">
        <v>28502.432000000001</v>
      </c>
      <c r="AA22" s="484">
        <v>27140014.842</v>
      </c>
      <c r="AB22" s="484">
        <v>0.77200000000000002</v>
      </c>
      <c r="AC22" s="484">
        <v>1.048</v>
      </c>
      <c r="AD22" s="484">
        <v>997.85799999999995</v>
      </c>
      <c r="AE22" s="484">
        <v>0.155</v>
      </c>
      <c r="AF22" s="484">
        <v>0.153</v>
      </c>
      <c r="AG22" s="484">
        <v>0.21</v>
      </c>
      <c r="AH22" s="484">
        <v>200.01400000000001</v>
      </c>
      <c r="AI22" s="484">
        <v>1.3919999999999999</v>
      </c>
      <c r="AJ22" s="484">
        <v>1.998</v>
      </c>
      <c r="AK22" s="484">
        <v>1904.19</v>
      </c>
      <c r="AL22" s="484">
        <v>0.14699999999999999</v>
      </c>
      <c r="AM22" s="484">
        <v>0.21099999999999999</v>
      </c>
      <c r="AN22" s="484">
        <v>201.273</v>
      </c>
      <c r="AO22" s="484">
        <v>25198347.050999999</v>
      </c>
      <c r="AP22" s="484">
        <v>277772.70600000001</v>
      </c>
      <c r="AQ22" s="484">
        <v>2960946.9670000002</v>
      </c>
      <c r="AR22" s="484">
        <v>12121.328</v>
      </c>
      <c r="AS22" s="484">
        <v>46.3234452100955</v>
      </c>
      <c r="AT22" s="484">
        <v>0.51064415857151702</v>
      </c>
      <c r="AU22" s="484">
        <v>5.4432643664370701</v>
      </c>
      <c r="AV22" s="484">
        <v>2.2283274071317E-2</v>
      </c>
      <c r="AW22" s="484">
        <v>52.7623770960898</v>
      </c>
      <c r="AX22" s="260">
        <v>4988.9494136482717</v>
      </c>
      <c r="AY22" s="261">
        <v>9455.5054171962711</v>
      </c>
      <c r="BA22" s="412" t="s">
        <v>607</v>
      </c>
      <c r="BH22" s="266" t="s">
        <v>298</v>
      </c>
      <c r="BQ22" s="550" t="s">
        <v>608</v>
      </c>
      <c r="BV22" s="413"/>
      <c r="BW22" s="477" t="str">
        <f t="shared" si="1"/>
        <v>IA</v>
      </c>
      <c r="BX22" s="501">
        <f t="shared" si="2"/>
        <v>997.85799999999995</v>
      </c>
      <c r="BY22" s="501">
        <f t="shared" si="3"/>
        <v>1.048</v>
      </c>
      <c r="BZ22" s="501">
        <f t="shared" si="4"/>
        <v>0.77200000000000002</v>
      </c>
      <c r="CA22" s="502">
        <f t="shared" si="5"/>
        <v>4988.9494136482717</v>
      </c>
      <c r="CB22" s="476"/>
      <c r="CP22" s="477" t="s">
        <v>80</v>
      </c>
      <c r="CQ22" s="482" t="s">
        <v>299</v>
      </c>
      <c r="CR22" s="413"/>
      <c r="CU22" s="482" t="s">
        <v>79</v>
      </c>
      <c r="CV22" s="482" t="s">
        <v>79</v>
      </c>
      <c r="CW22" s="482" t="s">
        <v>609</v>
      </c>
      <c r="CX22" s="482" t="s">
        <v>609</v>
      </c>
    </row>
    <row r="23" spans="2:105" ht="15" customHeight="1" x14ac:dyDescent="0.25">
      <c r="B23" s="696"/>
      <c r="C23" s="720"/>
      <c r="D23" s="720"/>
      <c r="E23" s="720"/>
      <c r="F23" s="697"/>
      <c r="G23" s="697"/>
      <c r="H23" s="697"/>
      <c r="I23" s="697"/>
      <c r="J23" s="697"/>
      <c r="K23" s="697"/>
      <c r="L23" s="697"/>
      <c r="M23" s="697"/>
      <c r="N23" s="697"/>
      <c r="O23" s="697"/>
      <c r="P23" s="697"/>
      <c r="Q23" s="697"/>
      <c r="R23" s="699"/>
      <c r="T23" s="258">
        <v>14</v>
      </c>
      <c r="U23" s="259" t="s">
        <v>299</v>
      </c>
      <c r="V23" s="484">
        <v>6212.4</v>
      </c>
      <c r="W23" s="484">
        <v>28060257.850000001</v>
      </c>
      <c r="X23" s="484">
        <v>15660938.441</v>
      </c>
      <c r="Y23" s="484">
        <v>2089.7779999999998</v>
      </c>
      <c r="Z23" s="484">
        <v>521.42499999999995</v>
      </c>
      <c r="AA23" s="484">
        <v>1477571.885</v>
      </c>
      <c r="AB23" s="484">
        <v>0.26700000000000002</v>
      </c>
      <c r="AC23" s="484">
        <v>6.7000000000000004E-2</v>
      </c>
      <c r="AD23" s="484">
        <v>188.69499999999999</v>
      </c>
      <c r="AE23" s="484">
        <v>0.14899999999999999</v>
      </c>
      <c r="AF23" s="484">
        <v>0.13100000000000001</v>
      </c>
      <c r="AG23" s="484">
        <v>3.6999999999999998E-2</v>
      </c>
      <c r="AH23" s="484">
        <v>105.31399999999999</v>
      </c>
      <c r="AI23" s="484">
        <v>0.224</v>
      </c>
      <c r="AJ23" s="484">
        <v>4.2999999999999997E-2</v>
      </c>
      <c r="AK23" s="484">
        <v>886.06100000000004</v>
      </c>
      <c r="AL23" s="484">
        <v>0.03</v>
      </c>
      <c r="AM23" s="484">
        <v>6.0000000000000001E-3</v>
      </c>
      <c r="AN23" s="484">
        <v>119.31699999999999</v>
      </c>
      <c r="AO23" s="484">
        <v>29188.261999999999</v>
      </c>
      <c r="AP23" s="484">
        <v>183.345</v>
      </c>
      <c r="AQ23" s="484">
        <v>3321462.3689999999</v>
      </c>
      <c r="AR23" s="484">
        <v>0</v>
      </c>
      <c r="AS23" s="484">
        <v>0.1863762010766</v>
      </c>
      <c r="AT23" s="484">
        <v>1.1707152891251001E-3</v>
      </c>
      <c r="AU23" s="484">
        <v>21.208578241249999</v>
      </c>
      <c r="AV23" s="484">
        <v>0</v>
      </c>
      <c r="AW23" s="484">
        <v>25.205739157988901</v>
      </c>
      <c r="AX23" s="260">
        <v>1791.7354030674721</v>
      </c>
      <c r="AY23" s="261">
        <v>7108.4422446769977</v>
      </c>
      <c r="BA23" s="551" t="s">
        <v>300</v>
      </c>
      <c r="BH23" s="549" t="s">
        <v>301</v>
      </c>
      <c r="BQ23" s="266" t="s">
        <v>298</v>
      </c>
      <c r="BV23" s="413"/>
      <c r="BW23" s="477" t="str">
        <f t="shared" si="1"/>
        <v>ID</v>
      </c>
      <c r="BX23" s="501">
        <f t="shared" si="2"/>
        <v>188.69499999999999</v>
      </c>
      <c r="BY23" s="501">
        <f t="shared" si="3"/>
        <v>6.7000000000000004E-2</v>
      </c>
      <c r="BZ23" s="501">
        <f t="shared" si="4"/>
        <v>0.26700000000000002</v>
      </c>
      <c r="CA23" s="502">
        <f t="shared" si="5"/>
        <v>1791.7354030674721</v>
      </c>
      <c r="CB23" s="476"/>
      <c r="CP23" s="477" t="s">
        <v>81</v>
      </c>
      <c r="CQ23" s="482" t="s">
        <v>302</v>
      </c>
      <c r="CR23" s="413"/>
      <c r="CU23" s="482" t="s">
        <v>80</v>
      </c>
      <c r="CV23" s="482" t="s">
        <v>80</v>
      </c>
      <c r="CW23" s="482" t="s">
        <v>610</v>
      </c>
      <c r="CX23" s="482" t="s">
        <v>610</v>
      </c>
    </row>
    <row r="24" spans="2:105" ht="15" customHeight="1" x14ac:dyDescent="0.25">
      <c r="B24" s="696"/>
      <c r="C24" s="709" t="s">
        <v>611</v>
      </c>
      <c r="D24" s="709"/>
      <c r="E24" s="774" t="str">
        <f>+'CHP Payback'!F20</f>
        <v>US Average</v>
      </c>
      <c r="F24" s="721" t="str">
        <f>IF(E24="Ontario","Y",IF(E24="Alberta","Y",IF(E24="New Brunswick","Y",IF(E24="Nova Scotia","Y","N"))))</f>
        <v>N</v>
      </c>
      <c r="G24" s="697"/>
      <c r="H24" s="697"/>
      <c r="I24" s="697"/>
      <c r="J24" s="697"/>
      <c r="K24" s="697"/>
      <c r="L24" s="697"/>
      <c r="M24" s="697"/>
      <c r="N24" s="697"/>
      <c r="O24" s="697"/>
      <c r="P24" s="697"/>
      <c r="Q24" s="697"/>
      <c r="R24" s="699"/>
      <c r="T24" s="258">
        <v>15</v>
      </c>
      <c r="U24" s="259" t="s">
        <v>302</v>
      </c>
      <c r="V24" s="484">
        <v>62747.6</v>
      </c>
      <c r="W24" s="484">
        <v>797823138.82099998</v>
      </c>
      <c r="X24" s="484">
        <v>187437381.035</v>
      </c>
      <c r="Y24" s="484">
        <v>33485.631000000001</v>
      </c>
      <c r="Z24" s="484">
        <v>89395.876000000004</v>
      </c>
      <c r="AA24" s="484">
        <v>76035677.093999997</v>
      </c>
      <c r="AB24" s="484">
        <v>0.35699999999999998</v>
      </c>
      <c r="AC24" s="484">
        <v>0.95399999999999996</v>
      </c>
      <c r="AD24" s="484">
        <v>811.31799999999998</v>
      </c>
      <c r="AE24" s="484">
        <v>8.4000000000000005E-2</v>
      </c>
      <c r="AF24" s="484">
        <v>8.3000000000000004E-2</v>
      </c>
      <c r="AG24" s="484">
        <v>0.224</v>
      </c>
      <c r="AH24" s="484">
        <v>190.608</v>
      </c>
      <c r="AI24" s="484">
        <v>0.80800000000000005</v>
      </c>
      <c r="AJ24" s="484">
        <v>2.3130000000000002</v>
      </c>
      <c r="AK24" s="484">
        <v>1970.076</v>
      </c>
      <c r="AL24" s="484">
        <v>7.9000000000000001E-2</v>
      </c>
      <c r="AM24" s="484">
        <v>0.22600000000000001</v>
      </c>
      <c r="AN24" s="484">
        <v>192.197</v>
      </c>
      <c r="AO24" s="484">
        <v>59337801.512999997</v>
      </c>
      <c r="AP24" s="484">
        <v>69502.967999999993</v>
      </c>
      <c r="AQ24" s="484">
        <v>17480438.763</v>
      </c>
      <c r="AR24" s="484">
        <v>207080.21299999999</v>
      </c>
      <c r="AS24" s="484">
        <v>31.6573998349036</v>
      </c>
      <c r="AT24" s="484">
        <v>3.7080633113892203E-2</v>
      </c>
      <c r="AU24" s="484">
        <v>9.32601520615151</v>
      </c>
      <c r="AV24" s="484">
        <v>0.110479676254971</v>
      </c>
      <c r="AW24" s="484">
        <v>41.606036781980798</v>
      </c>
      <c r="AX24" s="260">
        <v>4256.4782671180365</v>
      </c>
      <c r="AY24" s="261">
        <v>10230.434260521564</v>
      </c>
      <c r="BQ24" s="550" t="s">
        <v>612</v>
      </c>
      <c r="BW24" s="477" t="str">
        <f t="shared" si="1"/>
        <v>IL</v>
      </c>
      <c r="BX24" s="501">
        <f t="shared" si="2"/>
        <v>811.31799999999998</v>
      </c>
      <c r="BY24" s="501">
        <f t="shared" si="3"/>
        <v>0.95399999999999996</v>
      </c>
      <c r="BZ24" s="501">
        <f t="shared" si="4"/>
        <v>0.35699999999999998</v>
      </c>
      <c r="CA24" s="502">
        <f t="shared" si="5"/>
        <v>4256.4782671180365</v>
      </c>
      <c r="CB24" s="476"/>
      <c r="CP24" s="477" t="s">
        <v>82</v>
      </c>
      <c r="CQ24" s="482" t="s">
        <v>303</v>
      </c>
      <c r="CR24" s="413"/>
      <c r="CU24" s="482" t="s">
        <v>81</v>
      </c>
      <c r="CV24" s="482" t="s">
        <v>81</v>
      </c>
      <c r="CW24" s="482" t="s">
        <v>613</v>
      </c>
      <c r="CX24" s="482" t="s">
        <v>613</v>
      </c>
    </row>
    <row r="25" spans="2:105" ht="15" customHeight="1" x14ac:dyDescent="0.25">
      <c r="B25" s="696"/>
      <c r="C25" s="720"/>
      <c r="D25" s="720"/>
      <c r="E25" s="775" t="str">
        <f>IF(F24="Y","Note that Ontario, NewBrunswick, Nova Scotia and Alberta use calculated marginal mix emissions for CO2."," ")</f>
        <v xml:space="preserve"> </v>
      </c>
      <c r="F25" s="697"/>
      <c r="G25" s="697"/>
      <c r="H25" s="697"/>
      <c r="I25" s="697"/>
      <c r="J25" s="697"/>
      <c r="K25" s="697"/>
      <c r="L25" s="697"/>
      <c r="M25" s="697"/>
      <c r="N25" s="697"/>
      <c r="O25" s="697"/>
      <c r="P25" s="697"/>
      <c r="Q25" s="697"/>
      <c r="R25" s="699"/>
      <c r="T25" s="258">
        <v>16</v>
      </c>
      <c r="U25" s="259" t="s">
        <v>303</v>
      </c>
      <c r="V25" s="484">
        <v>40933.199999999997</v>
      </c>
      <c r="W25" s="484">
        <v>955299879.28400004</v>
      </c>
      <c r="X25" s="484">
        <v>101397209.392</v>
      </c>
      <c r="Y25" s="484">
        <v>86575.793999999994</v>
      </c>
      <c r="Z25" s="484">
        <v>87846.778000000006</v>
      </c>
      <c r="AA25" s="484">
        <v>91901514.974999994</v>
      </c>
      <c r="AB25" s="484">
        <v>1.708</v>
      </c>
      <c r="AC25" s="484">
        <v>1.7330000000000001</v>
      </c>
      <c r="AD25" s="484">
        <v>1812.703</v>
      </c>
      <c r="AE25" s="484">
        <v>0.18099999999999999</v>
      </c>
      <c r="AF25" s="484">
        <v>0.17</v>
      </c>
      <c r="AG25" s="484">
        <v>0.184</v>
      </c>
      <c r="AH25" s="484">
        <v>192.40299999999999</v>
      </c>
      <c r="AI25" s="484">
        <v>1.762</v>
      </c>
      <c r="AJ25" s="484">
        <v>1.887</v>
      </c>
      <c r="AK25" s="484">
        <v>1965.829</v>
      </c>
      <c r="AL25" s="484">
        <v>0.17399999999999999</v>
      </c>
      <c r="AM25" s="484">
        <v>0.186</v>
      </c>
      <c r="AN25" s="484">
        <v>194.02</v>
      </c>
      <c r="AO25" s="484">
        <v>72533080.112000003</v>
      </c>
      <c r="AP25" s="484">
        <v>610407.24300000002</v>
      </c>
      <c r="AQ25" s="484">
        <v>19995659.487</v>
      </c>
      <c r="AR25" s="484">
        <v>2272492.2200000002</v>
      </c>
      <c r="AS25" s="484">
        <v>71.2792363847568</v>
      </c>
      <c r="AT25" s="484">
        <v>0.59985543282569698</v>
      </c>
      <c r="AU25" s="484">
        <v>19.6500043434276</v>
      </c>
      <c r="AV25" s="484">
        <v>2.2332087632537001</v>
      </c>
      <c r="AW25" s="484">
        <v>94.544387859059796</v>
      </c>
      <c r="AX25" s="260">
        <v>9421.3626293286434</v>
      </c>
      <c r="AY25" s="261">
        <v>9929.5801768679976</v>
      </c>
      <c r="BW25" s="477" t="str">
        <f t="shared" si="1"/>
        <v>IN</v>
      </c>
      <c r="BX25" s="501">
        <f t="shared" si="2"/>
        <v>1812.703</v>
      </c>
      <c r="BY25" s="501">
        <f t="shared" si="3"/>
        <v>1.7330000000000001</v>
      </c>
      <c r="BZ25" s="501">
        <f t="shared" si="4"/>
        <v>1.708</v>
      </c>
      <c r="CA25" s="502">
        <f t="shared" si="5"/>
        <v>9421.3626293286434</v>
      </c>
      <c r="CB25" s="476"/>
      <c r="CP25" s="477" t="s">
        <v>83</v>
      </c>
      <c r="CQ25" s="482" t="s">
        <v>304</v>
      </c>
      <c r="CR25" s="413"/>
      <c r="CU25" s="482" t="s">
        <v>82</v>
      </c>
      <c r="CV25" s="482" t="s">
        <v>82</v>
      </c>
      <c r="CW25" s="482" t="s">
        <v>614</v>
      </c>
      <c r="CX25" s="482" t="s">
        <v>614</v>
      </c>
    </row>
    <row r="26" spans="2:105" ht="15" customHeight="1" x14ac:dyDescent="0.25">
      <c r="B26" s="696"/>
      <c r="C26" s="720"/>
      <c r="D26" s="720"/>
      <c r="E26" s="720"/>
      <c r="F26" s="697"/>
      <c r="G26" s="697"/>
      <c r="H26" s="697"/>
      <c r="I26" s="697"/>
      <c r="J26" s="697"/>
      <c r="K26" s="697"/>
      <c r="L26" s="697"/>
      <c r="M26" s="697"/>
      <c r="N26" s="697"/>
      <c r="O26" s="697"/>
      <c r="P26" s="697"/>
      <c r="Q26" s="697"/>
      <c r="R26" s="699"/>
      <c r="T26" s="258">
        <v>17</v>
      </c>
      <c r="U26" s="259" t="s">
        <v>304</v>
      </c>
      <c r="V26" s="484">
        <v>19888.2</v>
      </c>
      <c r="W26" s="484">
        <v>281254620.54400003</v>
      </c>
      <c r="X26" s="484">
        <v>47599990.321999997</v>
      </c>
      <c r="Y26" s="484">
        <v>18062.440999999999</v>
      </c>
      <c r="Z26" s="484">
        <v>7160.1130000000003</v>
      </c>
      <c r="AA26" s="484">
        <v>28454163.081</v>
      </c>
      <c r="AB26" s="484">
        <v>0.75900000000000001</v>
      </c>
      <c r="AC26" s="484">
        <v>0.30099999999999999</v>
      </c>
      <c r="AD26" s="484">
        <v>1195.5530000000001</v>
      </c>
      <c r="AE26" s="484">
        <v>0.128</v>
      </c>
      <c r="AF26" s="484">
        <v>0.13500000000000001</v>
      </c>
      <c r="AG26" s="484">
        <v>5.0999999999999997E-2</v>
      </c>
      <c r="AH26" s="484">
        <v>202.33699999999999</v>
      </c>
      <c r="AI26" s="484">
        <v>1.401</v>
      </c>
      <c r="AJ26" s="484">
        <v>0.56799999999999995</v>
      </c>
      <c r="AK26" s="484">
        <v>2262.5920000000001</v>
      </c>
      <c r="AL26" s="484">
        <v>0.126</v>
      </c>
      <c r="AM26" s="484">
        <v>5.0999999999999997E-2</v>
      </c>
      <c r="AN26" s="484">
        <v>202.83500000000001</v>
      </c>
      <c r="AO26" s="484">
        <v>23096063.875</v>
      </c>
      <c r="AP26" s="484">
        <v>28323.68</v>
      </c>
      <c r="AQ26" s="484">
        <v>2027207.0349999999</v>
      </c>
      <c r="AR26" s="484">
        <v>0</v>
      </c>
      <c r="AS26" s="484">
        <v>48.521152186639497</v>
      </c>
      <c r="AT26" s="484">
        <v>5.95035411749648E-2</v>
      </c>
      <c r="AU26" s="484">
        <v>4.2588391507495</v>
      </c>
      <c r="AV26" s="484">
        <v>0</v>
      </c>
      <c r="AW26" s="484">
        <v>52.963093642493902</v>
      </c>
      <c r="AX26" s="260">
        <v>5908.7117169855464</v>
      </c>
      <c r="AY26" s="261">
        <v>11156.281246715656</v>
      </c>
      <c r="BW26" s="477" t="str">
        <f t="shared" si="1"/>
        <v>KS</v>
      </c>
      <c r="BX26" s="501">
        <f t="shared" si="2"/>
        <v>1195.5530000000001</v>
      </c>
      <c r="BY26" s="501">
        <f t="shared" si="3"/>
        <v>0.30099999999999999</v>
      </c>
      <c r="BZ26" s="501">
        <f t="shared" si="4"/>
        <v>0.75900000000000001</v>
      </c>
      <c r="CA26" s="502">
        <f t="shared" si="5"/>
        <v>5908.7117169855464</v>
      </c>
      <c r="CB26" s="476"/>
      <c r="CP26" s="477" t="s">
        <v>84</v>
      </c>
      <c r="CQ26" s="482" t="s">
        <v>305</v>
      </c>
      <c r="CR26" s="413"/>
      <c r="CU26" s="482" t="s">
        <v>83</v>
      </c>
      <c r="CV26" s="482" t="s">
        <v>83</v>
      </c>
      <c r="CW26" s="482" t="s">
        <v>615</v>
      </c>
      <c r="CX26" s="482" t="s">
        <v>615</v>
      </c>
    </row>
    <row r="27" spans="2:105" ht="15" customHeight="1" x14ac:dyDescent="0.3">
      <c r="B27" s="696"/>
      <c r="C27" s="700" t="s">
        <v>306</v>
      </c>
      <c r="D27" s="700"/>
      <c r="E27" s="701"/>
      <c r="F27" s="722" t="s">
        <v>307</v>
      </c>
      <c r="G27" s="818" t="str">
        <f>G10</f>
        <v>Comparison Cases</v>
      </c>
      <c r="H27" s="818"/>
      <c r="I27" s="818"/>
      <c r="J27" s="818"/>
      <c r="K27" s="818"/>
      <c r="L27" s="818"/>
      <c r="M27" s="818"/>
      <c r="N27" s="818"/>
      <c r="O27" s="818"/>
      <c r="P27" s="818"/>
      <c r="Q27" s="818"/>
      <c r="R27" s="699"/>
      <c r="T27" s="258">
        <v>18</v>
      </c>
      <c r="U27" s="259" t="s">
        <v>305</v>
      </c>
      <c r="V27" s="484">
        <v>31178.5</v>
      </c>
      <c r="W27" s="484">
        <v>794709066.63600004</v>
      </c>
      <c r="X27" s="484">
        <v>80273501.004999995</v>
      </c>
      <c r="Y27" s="484">
        <v>58526.307999999997</v>
      </c>
      <c r="Z27" s="484">
        <v>76475.365000000005</v>
      </c>
      <c r="AA27" s="484">
        <v>78439289.928000003</v>
      </c>
      <c r="AB27" s="484">
        <v>1.458</v>
      </c>
      <c r="AC27" s="484">
        <v>1.905</v>
      </c>
      <c r="AD27" s="484">
        <v>1954.3009999999999</v>
      </c>
      <c r="AE27" s="484">
        <v>0.14699999999999999</v>
      </c>
      <c r="AF27" s="484">
        <v>0.14399999999999999</v>
      </c>
      <c r="AG27" s="484">
        <v>0.192</v>
      </c>
      <c r="AH27" s="484">
        <v>197.404</v>
      </c>
      <c r="AI27" s="484">
        <v>1.5069999999999999</v>
      </c>
      <c r="AJ27" s="484">
        <v>1.992</v>
      </c>
      <c r="AK27" s="484">
        <v>2055.81</v>
      </c>
      <c r="AL27" s="484">
        <v>0.14499999999999999</v>
      </c>
      <c r="AM27" s="484">
        <v>0.192</v>
      </c>
      <c r="AN27" s="484">
        <v>198.22800000000001</v>
      </c>
      <c r="AO27" s="484">
        <v>66822058.103</v>
      </c>
      <c r="AP27" s="484">
        <v>1218413.601</v>
      </c>
      <c r="AQ27" s="484">
        <v>8228521.2829999998</v>
      </c>
      <c r="AR27" s="484">
        <v>49951.222000000002</v>
      </c>
      <c r="AS27" s="484">
        <v>83.242984811819198</v>
      </c>
      <c r="AT27" s="484">
        <v>1.5178279113495801</v>
      </c>
      <c r="AU27" s="484">
        <v>10.250607234046701</v>
      </c>
      <c r="AV27" s="484">
        <v>6.2226290723768202E-2</v>
      </c>
      <c r="AW27" s="484">
        <v>95.652784587738694</v>
      </c>
      <c r="AX27" s="260">
        <v>9900.017523671977</v>
      </c>
      <c r="AY27" s="261">
        <v>10349.952265421924</v>
      </c>
      <c r="BW27" s="477" t="str">
        <f t="shared" si="1"/>
        <v>KY</v>
      </c>
      <c r="BX27" s="501">
        <f t="shared" si="2"/>
        <v>1954.3009999999999</v>
      </c>
      <c r="BY27" s="501">
        <f t="shared" si="3"/>
        <v>1.905</v>
      </c>
      <c r="BZ27" s="501">
        <f t="shared" si="4"/>
        <v>1.458</v>
      </c>
      <c r="CA27" s="502">
        <f t="shared" si="5"/>
        <v>9900.017523671977</v>
      </c>
      <c r="CB27" s="476"/>
      <c r="CP27" s="477" t="s">
        <v>85</v>
      </c>
      <c r="CQ27" s="482" t="s">
        <v>308</v>
      </c>
      <c r="CR27" s="413"/>
      <c r="CU27" s="482" t="s">
        <v>84</v>
      </c>
      <c r="CV27" s="482" t="s">
        <v>84</v>
      </c>
      <c r="CW27" s="482" t="s">
        <v>616</v>
      </c>
      <c r="CX27" s="482" t="s">
        <v>616</v>
      </c>
    </row>
    <row r="28" spans="2:105" ht="15" customHeight="1" x14ac:dyDescent="0.25">
      <c r="B28" s="696"/>
      <c r="C28" s="702"/>
      <c r="D28" s="702"/>
      <c r="E28" s="703" t="s">
        <v>252</v>
      </c>
      <c r="F28" s="703" t="s">
        <v>309</v>
      </c>
      <c r="G28" s="703" t="str">
        <f>G11</f>
        <v>Recip</v>
      </c>
      <c r="H28" s="703"/>
      <c r="I28" s="703" t="str">
        <f>I11</f>
        <v>Micro Turbine</v>
      </c>
      <c r="J28" s="703"/>
      <c r="K28" s="703" t="str">
        <f>K11</f>
        <v>Gas Turbine</v>
      </c>
      <c r="L28" s="703"/>
      <c r="M28" s="703" t="str">
        <f>M11</f>
        <v>Fuel Cell</v>
      </c>
      <c r="N28" s="703"/>
      <c r="O28" s="703" t="str">
        <f>O11</f>
        <v>#5</v>
      </c>
      <c r="P28" s="703"/>
      <c r="Q28" s="703" t="str">
        <f>Q11</f>
        <v>#6</v>
      </c>
      <c r="R28" s="699"/>
      <c r="T28" s="258">
        <v>19</v>
      </c>
      <c r="U28" s="259" t="s">
        <v>308</v>
      </c>
      <c r="V28" s="484">
        <v>36571.699999999997</v>
      </c>
      <c r="W28" s="484">
        <v>682130857.83000004</v>
      </c>
      <c r="X28" s="484">
        <v>106842115.053</v>
      </c>
      <c r="Y28" s="484">
        <v>43819.796999999999</v>
      </c>
      <c r="Z28" s="484">
        <v>38596.775000000001</v>
      </c>
      <c r="AA28" s="484">
        <v>46949097.206</v>
      </c>
      <c r="AB28" s="484">
        <v>0.82</v>
      </c>
      <c r="AC28" s="484">
        <v>0.72299999999999998</v>
      </c>
      <c r="AD28" s="484">
        <v>878.85</v>
      </c>
      <c r="AE28" s="484">
        <v>0.128</v>
      </c>
      <c r="AF28" s="484">
        <v>0.13500000000000001</v>
      </c>
      <c r="AG28" s="484">
        <v>0.113</v>
      </c>
      <c r="AH28" s="484">
        <v>137.654</v>
      </c>
      <c r="AI28" s="484">
        <v>1.0289999999999999</v>
      </c>
      <c r="AJ28" s="484">
        <v>0.871</v>
      </c>
      <c r="AK28" s="484">
        <v>1113.7070000000001</v>
      </c>
      <c r="AL28" s="484">
        <v>0.13100000000000001</v>
      </c>
      <c r="AM28" s="484">
        <v>0.111</v>
      </c>
      <c r="AN28" s="484">
        <v>141.70699999999999</v>
      </c>
      <c r="AO28" s="484">
        <v>12013648.949999999</v>
      </c>
      <c r="AP28" s="484">
        <v>4819224.6270000003</v>
      </c>
      <c r="AQ28" s="484">
        <v>66052454.520999998</v>
      </c>
      <c r="AR28" s="484">
        <v>2131813.4330000002</v>
      </c>
      <c r="AS28" s="484">
        <v>11.244300796525399</v>
      </c>
      <c r="AT28" s="484">
        <v>4.5106038587893904</v>
      </c>
      <c r="AU28" s="484">
        <v>61.8224879113802</v>
      </c>
      <c r="AV28" s="484">
        <v>1.995293152188</v>
      </c>
      <c r="AW28" s="484">
        <v>82.914182526437898</v>
      </c>
      <c r="AX28" s="260">
        <v>6384.475424242798</v>
      </c>
      <c r="AY28" s="261">
        <v>7700.1004493597802</v>
      </c>
      <c r="BW28" s="477" t="str">
        <f t="shared" si="1"/>
        <v>LA</v>
      </c>
      <c r="BX28" s="501">
        <f t="shared" si="2"/>
        <v>878.85</v>
      </c>
      <c r="BY28" s="501">
        <f t="shared" si="3"/>
        <v>0.72299999999999998</v>
      </c>
      <c r="BZ28" s="501">
        <f t="shared" si="4"/>
        <v>0.82</v>
      </c>
      <c r="CA28" s="502">
        <f t="shared" si="5"/>
        <v>6384.475424242798</v>
      </c>
      <c r="CB28" s="476"/>
      <c r="CP28" s="477" t="s">
        <v>86</v>
      </c>
      <c r="CQ28" s="482" t="s">
        <v>310</v>
      </c>
      <c r="CR28" s="413"/>
      <c r="CU28" s="482" t="s">
        <v>85</v>
      </c>
      <c r="CV28" s="482" t="s">
        <v>85</v>
      </c>
      <c r="CW28" s="482" t="s">
        <v>617</v>
      </c>
      <c r="CX28" s="482" t="s">
        <v>617</v>
      </c>
    </row>
    <row r="29" spans="2:105" ht="15" customHeight="1" x14ac:dyDescent="0.25">
      <c r="B29" s="696"/>
      <c r="C29" s="723" t="s">
        <v>311</v>
      </c>
      <c r="D29" s="724"/>
      <c r="E29" s="725"/>
      <c r="F29" s="726"/>
      <c r="G29" s="726"/>
      <c r="H29" s="726"/>
      <c r="I29" s="726"/>
      <c r="J29" s="726"/>
      <c r="K29" s="726"/>
      <c r="L29" s="726"/>
      <c r="M29" s="726"/>
      <c r="N29" s="726"/>
      <c r="O29" s="726"/>
      <c r="P29" s="726"/>
      <c r="Q29" s="727"/>
      <c r="R29" s="699"/>
      <c r="T29" s="258">
        <v>20</v>
      </c>
      <c r="U29" s="259" t="s">
        <v>310</v>
      </c>
      <c r="V29" s="484">
        <v>19517.400000000001</v>
      </c>
      <c r="W29" s="484">
        <v>214741474.29300001</v>
      </c>
      <c r="X29" s="484">
        <v>31951671.136999998</v>
      </c>
      <c r="Y29" s="484">
        <v>8347.8160000000007</v>
      </c>
      <c r="Z29" s="484">
        <v>3624.587</v>
      </c>
      <c r="AA29" s="484">
        <v>13121388.573999999</v>
      </c>
      <c r="AB29" s="484">
        <v>0.52300000000000002</v>
      </c>
      <c r="AC29" s="484">
        <v>0.22700000000000001</v>
      </c>
      <c r="AD29" s="484">
        <v>821.327</v>
      </c>
      <c r="AE29" s="484">
        <v>7.8E-2</v>
      </c>
      <c r="AF29" s="484">
        <v>6.5000000000000002E-2</v>
      </c>
      <c r="AG29" s="484">
        <v>3.4000000000000002E-2</v>
      </c>
      <c r="AH29" s="484">
        <v>122.206</v>
      </c>
      <c r="AI29" s="484">
        <v>0.28299999999999997</v>
      </c>
      <c r="AJ29" s="484">
        <v>0.154</v>
      </c>
      <c r="AK29" s="484">
        <v>989.178</v>
      </c>
      <c r="AL29" s="484">
        <v>3.6999999999999998E-2</v>
      </c>
      <c r="AM29" s="484">
        <v>0.02</v>
      </c>
      <c r="AN29" s="484">
        <v>129.495</v>
      </c>
      <c r="AO29" s="484">
        <v>1874931.7</v>
      </c>
      <c r="AP29" s="484">
        <v>422281.087</v>
      </c>
      <c r="AQ29" s="484">
        <v>21143936.339000002</v>
      </c>
      <c r="AR29" s="484">
        <v>527.71299999999997</v>
      </c>
      <c r="AS29" s="484">
        <v>5.8680237988044901</v>
      </c>
      <c r="AT29" s="484">
        <v>1.3216243921317401</v>
      </c>
      <c r="AU29" s="484">
        <v>66.174742065355801</v>
      </c>
      <c r="AV29" s="484">
        <v>1.65159746509087E-3</v>
      </c>
      <c r="AW29" s="484">
        <v>79.818152337288694</v>
      </c>
      <c r="AX29" s="260">
        <v>6720.8213733875609</v>
      </c>
      <c r="AY29" s="261">
        <v>8420.1664111077171</v>
      </c>
      <c r="BW29" s="477" t="str">
        <f t="shared" si="1"/>
        <v>MA</v>
      </c>
      <c r="BX29" s="501">
        <f t="shared" si="2"/>
        <v>821.327</v>
      </c>
      <c r="BY29" s="501">
        <f t="shared" si="3"/>
        <v>0.22700000000000001</v>
      </c>
      <c r="BZ29" s="501">
        <f t="shared" si="4"/>
        <v>0.52300000000000002</v>
      </c>
      <c r="CA29" s="502">
        <f t="shared" si="5"/>
        <v>6720.8213733875609</v>
      </c>
      <c r="CB29" s="476"/>
      <c r="CP29" s="477" t="s">
        <v>87</v>
      </c>
      <c r="CQ29" s="482" t="s">
        <v>312</v>
      </c>
      <c r="CR29" s="413"/>
      <c r="CU29" s="482" t="s">
        <v>86</v>
      </c>
      <c r="CV29" s="482" t="s">
        <v>86</v>
      </c>
      <c r="CW29" s="482" t="s">
        <v>618</v>
      </c>
      <c r="CX29" s="482" t="s">
        <v>618</v>
      </c>
    </row>
    <row r="30" spans="2:105" ht="15" customHeight="1" x14ac:dyDescent="0.25">
      <c r="B30" s="696"/>
      <c r="C30" s="728" t="s">
        <v>313</v>
      </c>
      <c r="D30" s="729"/>
      <c r="E30" s="730"/>
      <c r="F30" s="731">
        <f>E114</f>
        <v>75227.63956341274</v>
      </c>
      <c r="G30" s="731">
        <f>G114</f>
        <v>0</v>
      </c>
      <c r="H30" s="731"/>
      <c r="I30" s="731">
        <f>I114</f>
        <v>0</v>
      </c>
      <c r="J30" s="731"/>
      <c r="K30" s="731">
        <f>K114</f>
        <v>0</v>
      </c>
      <c r="L30" s="731"/>
      <c r="M30" s="731">
        <f>M114</f>
        <v>0</v>
      </c>
      <c r="N30" s="731"/>
      <c r="O30" s="731">
        <f>O114</f>
        <v>0</v>
      </c>
      <c r="P30" s="731"/>
      <c r="Q30" s="732">
        <f>Q114</f>
        <v>0</v>
      </c>
      <c r="R30" s="733"/>
      <c r="T30" s="258">
        <v>21</v>
      </c>
      <c r="U30" s="259" t="s">
        <v>312</v>
      </c>
      <c r="V30" s="484">
        <v>18265.2</v>
      </c>
      <c r="W30" s="484">
        <v>213465642.215</v>
      </c>
      <c r="X30" s="484">
        <v>37166746.523999996</v>
      </c>
      <c r="Y30" s="484">
        <v>11547.906999999999</v>
      </c>
      <c r="Z30" s="484">
        <v>17541.495999999999</v>
      </c>
      <c r="AA30" s="484">
        <v>18819050.943999998</v>
      </c>
      <c r="AB30" s="484">
        <v>0.621</v>
      </c>
      <c r="AC30" s="484">
        <v>0.94399999999999995</v>
      </c>
      <c r="AD30" s="484">
        <v>1012.682</v>
      </c>
      <c r="AE30" s="484">
        <v>0.108</v>
      </c>
      <c r="AF30" s="484">
        <v>0.104</v>
      </c>
      <c r="AG30" s="484">
        <v>0.16400000000000001</v>
      </c>
      <c r="AH30" s="484">
        <v>176.31899999999999</v>
      </c>
      <c r="AI30" s="484">
        <v>0.98199999999999998</v>
      </c>
      <c r="AJ30" s="484">
        <v>1.7070000000000001</v>
      </c>
      <c r="AK30" s="484">
        <v>1901.952</v>
      </c>
      <c r="AL30" s="484">
        <v>9.4E-2</v>
      </c>
      <c r="AM30" s="484">
        <v>0.16300000000000001</v>
      </c>
      <c r="AN30" s="484">
        <v>181.38399999999999</v>
      </c>
      <c r="AO30" s="484">
        <v>13826213.23</v>
      </c>
      <c r="AP30" s="484">
        <v>160608.87599999999</v>
      </c>
      <c r="AQ30" s="484">
        <v>5423046.3229999999</v>
      </c>
      <c r="AR30" s="484">
        <v>0</v>
      </c>
      <c r="AS30" s="484">
        <v>37.199161001634799</v>
      </c>
      <c r="AT30" s="484">
        <v>0.43211509451135499</v>
      </c>
      <c r="AU30" s="484">
        <v>14.5906019191779</v>
      </c>
      <c r="AV30" s="484">
        <v>0</v>
      </c>
      <c r="AW30" s="484">
        <v>54.559213595695603</v>
      </c>
      <c r="AX30" s="260">
        <v>5743.4578535723331</v>
      </c>
      <c r="AY30" s="261">
        <v>10526.640148043851</v>
      </c>
      <c r="BW30" s="477" t="str">
        <f t="shared" si="1"/>
        <v>MD</v>
      </c>
      <c r="BX30" s="501">
        <f t="shared" si="2"/>
        <v>1012.682</v>
      </c>
      <c r="BY30" s="501">
        <f t="shared" si="3"/>
        <v>0.94399999999999995</v>
      </c>
      <c r="BZ30" s="501">
        <f t="shared" si="4"/>
        <v>0.621</v>
      </c>
      <c r="CA30" s="502">
        <f t="shared" si="5"/>
        <v>5743.4578535723331</v>
      </c>
      <c r="CB30" s="476"/>
      <c r="CP30" s="477" t="s">
        <v>88</v>
      </c>
      <c r="CQ30" s="482" t="s">
        <v>314</v>
      </c>
      <c r="CR30" s="413"/>
      <c r="CU30" s="482" t="s">
        <v>87</v>
      </c>
      <c r="CV30" s="482" t="s">
        <v>87</v>
      </c>
      <c r="CW30" s="482" t="s">
        <v>619</v>
      </c>
      <c r="CX30" s="482" t="s">
        <v>619</v>
      </c>
    </row>
    <row r="31" spans="2:105" ht="15" customHeight="1" x14ac:dyDescent="0.25">
      <c r="B31" s="696"/>
      <c r="C31" s="728" t="s">
        <v>315</v>
      </c>
      <c r="D31" s="729"/>
      <c r="E31" s="734"/>
      <c r="F31" s="731">
        <f>E93</f>
        <v>0</v>
      </c>
      <c r="G31" s="731">
        <f>G93</f>
        <v>36086.477093206944</v>
      </c>
      <c r="H31" s="731"/>
      <c r="I31" s="731">
        <f>I93</f>
        <v>57048.532894736847</v>
      </c>
      <c r="J31" s="731"/>
      <c r="K31" s="731">
        <f>K93</f>
        <v>55890.265587167072</v>
      </c>
      <c r="L31" s="731"/>
      <c r="M31" s="731">
        <f>M93</f>
        <v>33210.000000000007</v>
      </c>
      <c r="N31" s="731"/>
      <c r="O31" s="731">
        <f>O93</f>
        <v>0</v>
      </c>
      <c r="P31" s="731"/>
      <c r="Q31" s="732">
        <f>Q93</f>
        <v>0</v>
      </c>
      <c r="R31" s="733"/>
      <c r="T31" s="258">
        <v>22</v>
      </c>
      <c r="U31" s="259" t="s">
        <v>314</v>
      </c>
      <c r="V31" s="484">
        <v>5717.6</v>
      </c>
      <c r="W31" s="484">
        <v>58575396.805</v>
      </c>
      <c r="X31" s="484">
        <v>11514427.426000001</v>
      </c>
      <c r="Y31" s="484">
        <v>3326.3649999999998</v>
      </c>
      <c r="Z31" s="484">
        <v>1666.405</v>
      </c>
      <c r="AA31" s="484">
        <v>1939972.213</v>
      </c>
      <c r="AB31" s="484">
        <v>0.57799999999999996</v>
      </c>
      <c r="AC31" s="484">
        <v>0.28899999999999998</v>
      </c>
      <c r="AD31" s="484">
        <v>336.964</v>
      </c>
      <c r="AE31" s="484">
        <v>0.114</v>
      </c>
      <c r="AF31" s="484">
        <v>0.104</v>
      </c>
      <c r="AG31" s="484">
        <v>5.7000000000000002E-2</v>
      </c>
      <c r="AH31" s="484">
        <v>66.238</v>
      </c>
      <c r="AI31" s="484">
        <v>0.18099999999999999</v>
      </c>
      <c r="AJ31" s="484">
        <v>0.20799999999999999</v>
      </c>
      <c r="AK31" s="484">
        <v>850.00599999999997</v>
      </c>
      <c r="AL31" s="484">
        <v>2.5999999999999999E-2</v>
      </c>
      <c r="AM31" s="484">
        <v>0.03</v>
      </c>
      <c r="AN31" s="484">
        <v>121.155</v>
      </c>
      <c r="AO31" s="484">
        <v>69823.096999999994</v>
      </c>
      <c r="AP31" s="484">
        <v>109781.49400000001</v>
      </c>
      <c r="AQ31" s="484">
        <v>3498481.8259999999</v>
      </c>
      <c r="AR31" s="484">
        <v>148580.065</v>
      </c>
      <c r="AS31" s="484">
        <v>0.60639662367388703</v>
      </c>
      <c r="AT31" s="484">
        <v>0.95342558786063403</v>
      </c>
      <c r="AU31" s="484">
        <v>30.383464189089999</v>
      </c>
      <c r="AV31" s="484">
        <v>1.29038174518737</v>
      </c>
      <c r="AW31" s="484">
        <v>59.470057686601002</v>
      </c>
      <c r="AX31" s="260">
        <v>5087.1306612028839</v>
      </c>
      <c r="AY31" s="261">
        <v>8554.1043938620569</v>
      </c>
      <c r="BW31" s="477" t="str">
        <f t="shared" si="1"/>
        <v>ME</v>
      </c>
      <c r="BX31" s="501">
        <f t="shared" si="2"/>
        <v>336.964</v>
      </c>
      <c r="BY31" s="501">
        <f t="shared" si="3"/>
        <v>0.28899999999999998</v>
      </c>
      <c r="BZ31" s="501">
        <f t="shared" si="4"/>
        <v>0.57799999999999996</v>
      </c>
      <c r="CA31" s="502">
        <f t="shared" si="5"/>
        <v>5087.1306612028839</v>
      </c>
      <c r="CB31" s="476"/>
      <c r="CP31" s="477" t="s">
        <v>89</v>
      </c>
      <c r="CQ31" s="482" t="s">
        <v>316</v>
      </c>
      <c r="CR31" s="413"/>
      <c r="CU31" s="482" t="s">
        <v>88</v>
      </c>
      <c r="CV31" s="482" t="s">
        <v>88</v>
      </c>
      <c r="CW31" s="482" t="s">
        <v>620</v>
      </c>
      <c r="CX31" s="482" t="s">
        <v>620</v>
      </c>
    </row>
    <row r="32" spans="2:105" ht="15" customHeight="1" x14ac:dyDescent="0.25">
      <c r="B32" s="696"/>
      <c r="C32" s="735" t="s">
        <v>317</v>
      </c>
      <c r="D32" s="729"/>
      <c r="E32" s="734" t="s">
        <v>318</v>
      </c>
      <c r="F32" s="731">
        <f>E122</f>
        <v>0</v>
      </c>
      <c r="G32" s="731">
        <f>G122</f>
        <v>0</v>
      </c>
      <c r="H32" s="731"/>
      <c r="I32" s="731">
        <f>I122</f>
        <v>0</v>
      </c>
      <c r="J32" s="731"/>
      <c r="K32" s="731">
        <f>K122</f>
        <v>0</v>
      </c>
      <c r="L32" s="731"/>
      <c r="M32" s="731">
        <f>M122</f>
        <v>0</v>
      </c>
      <c r="N32" s="731"/>
      <c r="O32" s="731">
        <f>O122</f>
        <v>0</v>
      </c>
      <c r="P32" s="731"/>
      <c r="Q32" s="732">
        <f>Q122</f>
        <v>0</v>
      </c>
      <c r="R32" s="733"/>
      <c r="T32" s="258">
        <v>23</v>
      </c>
      <c r="U32" s="259" t="s">
        <v>316</v>
      </c>
      <c r="V32" s="484">
        <v>36977.199999999997</v>
      </c>
      <c r="W32" s="484">
        <v>716544288.99899995</v>
      </c>
      <c r="X32" s="484">
        <v>112121789.925</v>
      </c>
      <c r="Y32" s="484">
        <v>46617.641000000003</v>
      </c>
      <c r="Z32" s="484">
        <v>86271.432000000001</v>
      </c>
      <c r="AA32" s="484">
        <v>61658803.317000002</v>
      </c>
      <c r="AB32" s="484">
        <v>0.83199999999999996</v>
      </c>
      <c r="AC32" s="484">
        <v>1.5389999999999999</v>
      </c>
      <c r="AD32" s="484">
        <v>1099.854</v>
      </c>
      <c r="AE32" s="484">
        <v>0.13</v>
      </c>
      <c r="AF32" s="484">
        <v>0.123</v>
      </c>
      <c r="AG32" s="484">
        <v>0.24099999999999999</v>
      </c>
      <c r="AH32" s="484">
        <v>172.1</v>
      </c>
      <c r="AI32" s="484">
        <v>1.1040000000000001</v>
      </c>
      <c r="AJ32" s="484">
        <v>2.3290000000000002</v>
      </c>
      <c r="AK32" s="484">
        <v>1699.0319999999999</v>
      </c>
      <c r="AL32" s="484">
        <v>0.11600000000000001</v>
      </c>
      <c r="AM32" s="484">
        <v>0.245</v>
      </c>
      <c r="AN32" s="484">
        <v>178.84</v>
      </c>
      <c r="AO32" s="484">
        <v>40526872.818999998</v>
      </c>
      <c r="AP32" s="484">
        <v>818978.89199999999</v>
      </c>
      <c r="AQ32" s="484">
        <v>29295153.905999999</v>
      </c>
      <c r="AR32" s="484">
        <v>1774317.2990000001</v>
      </c>
      <c r="AS32" s="484">
        <v>36.1454028370175</v>
      </c>
      <c r="AT32" s="484">
        <v>0.73043686589299095</v>
      </c>
      <c r="AU32" s="484">
        <v>26.127975475284199</v>
      </c>
      <c r="AV32" s="484">
        <v>1.58249105030814</v>
      </c>
      <c r="AW32" s="484">
        <v>66.938243799145198</v>
      </c>
      <c r="AX32" s="260">
        <v>6390.7674813103458</v>
      </c>
      <c r="AY32" s="261">
        <v>9547.2589207781693</v>
      </c>
      <c r="BW32" s="477" t="str">
        <f t="shared" si="1"/>
        <v>MI</v>
      </c>
      <c r="BX32" s="501">
        <f t="shared" si="2"/>
        <v>1099.854</v>
      </c>
      <c r="BY32" s="501">
        <f t="shared" si="3"/>
        <v>1.5389999999999999</v>
      </c>
      <c r="BZ32" s="501">
        <f t="shared" si="4"/>
        <v>0.83199999999999996</v>
      </c>
      <c r="CA32" s="502">
        <f t="shared" si="5"/>
        <v>6390.7674813103458</v>
      </c>
      <c r="CB32" s="476"/>
      <c r="CP32" s="477" t="s">
        <v>90</v>
      </c>
      <c r="CQ32" s="482" t="s">
        <v>319</v>
      </c>
      <c r="CR32" s="413"/>
      <c r="CU32" s="482" t="s">
        <v>89</v>
      </c>
      <c r="CV32" s="482" t="s">
        <v>89</v>
      </c>
      <c r="CW32" s="482" t="s">
        <v>621</v>
      </c>
      <c r="CX32" s="482" t="s">
        <v>621</v>
      </c>
    </row>
    <row r="33" spans="2:105" ht="15" customHeight="1" x14ac:dyDescent="0.25">
      <c r="B33" s="696"/>
      <c r="C33" s="735" t="s">
        <v>320</v>
      </c>
      <c r="D33" s="729"/>
      <c r="E33" s="730"/>
      <c r="F33" s="731">
        <f>E126</f>
        <v>0</v>
      </c>
      <c r="G33" s="731">
        <f>G126</f>
        <v>0</v>
      </c>
      <c r="H33" s="731"/>
      <c r="I33" s="731">
        <f>I126</f>
        <v>0</v>
      </c>
      <c r="J33" s="731"/>
      <c r="K33" s="731">
        <f>K126</f>
        <v>0</v>
      </c>
      <c r="L33" s="731"/>
      <c r="M33" s="731">
        <f>M126</f>
        <v>0</v>
      </c>
      <c r="N33" s="731"/>
      <c r="O33" s="731">
        <f>O126</f>
        <v>0</v>
      </c>
      <c r="P33" s="731"/>
      <c r="Q33" s="732">
        <f>Q126</f>
        <v>0</v>
      </c>
      <c r="R33" s="699"/>
      <c r="T33" s="258">
        <v>24</v>
      </c>
      <c r="U33" s="259" t="s">
        <v>319</v>
      </c>
      <c r="V33" s="484">
        <v>21832.400000000001</v>
      </c>
      <c r="W33" s="484">
        <v>341048055.773</v>
      </c>
      <c r="X33" s="484">
        <v>60036475.895999998</v>
      </c>
      <c r="Y33" s="484">
        <v>20098.493999999999</v>
      </c>
      <c r="Z33" s="484">
        <v>17474.221000000001</v>
      </c>
      <c r="AA33" s="484">
        <v>30398578.570999999</v>
      </c>
      <c r="AB33" s="484">
        <v>0.67</v>
      </c>
      <c r="AC33" s="484">
        <v>0.58199999999999996</v>
      </c>
      <c r="AD33" s="484">
        <v>1012.67</v>
      </c>
      <c r="AE33" s="484">
        <v>0.11799999999999999</v>
      </c>
      <c r="AF33" s="484">
        <v>0.11</v>
      </c>
      <c r="AG33" s="484">
        <v>0.10199999999999999</v>
      </c>
      <c r="AH33" s="484">
        <v>178.26599999999999</v>
      </c>
      <c r="AI33" s="484">
        <v>1.0329999999999999</v>
      </c>
      <c r="AJ33" s="484">
        <v>0.98699999999999999</v>
      </c>
      <c r="AK33" s="484">
        <v>1853.6869999999999</v>
      </c>
      <c r="AL33" s="484">
        <v>0.106</v>
      </c>
      <c r="AM33" s="484">
        <v>0.10100000000000001</v>
      </c>
      <c r="AN33" s="484">
        <v>190.095</v>
      </c>
      <c r="AO33" s="484">
        <v>23206288.695</v>
      </c>
      <c r="AP33" s="484">
        <v>30705.379000000001</v>
      </c>
      <c r="AQ33" s="484">
        <v>8929397.9529999997</v>
      </c>
      <c r="AR33" s="484">
        <v>0</v>
      </c>
      <c r="AS33" s="484">
        <v>38.653650050164501</v>
      </c>
      <c r="AT33" s="484">
        <v>5.1144540608054699E-2</v>
      </c>
      <c r="AU33" s="484">
        <v>14.8732883646442</v>
      </c>
      <c r="AV33" s="484">
        <v>0</v>
      </c>
      <c r="AW33" s="484">
        <v>57.408169117476803</v>
      </c>
      <c r="AX33" s="260">
        <v>5680.6807975170095</v>
      </c>
      <c r="AY33" s="261">
        <v>9895.2484146254865</v>
      </c>
      <c r="BW33" s="477" t="str">
        <f t="shared" si="1"/>
        <v>MN</v>
      </c>
      <c r="BX33" s="501">
        <f t="shared" si="2"/>
        <v>1012.67</v>
      </c>
      <c r="BY33" s="501">
        <f t="shared" si="3"/>
        <v>0.58199999999999996</v>
      </c>
      <c r="BZ33" s="501">
        <f t="shared" si="4"/>
        <v>0.67</v>
      </c>
      <c r="CA33" s="502">
        <f t="shared" si="5"/>
        <v>5680.6807975170095</v>
      </c>
      <c r="CB33" s="476"/>
      <c r="CP33" s="477" t="s">
        <v>91</v>
      </c>
      <c r="CQ33" s="482" t="s">
        <v>321</v>
      </c>
      <c r="CR33" s="413"/>
      <c r="CU33" s="482" t="s">
        <v>90</v>
      </c>
      <c r="CV33" s="482" t="s">
        <v>90</v>
      </c>
      <c r="CW33" s="482" t="s">
        <v>622</v>
      </c>
      <c r="CX33" s="482" t="s">
        <v>622</v>
      </c>
    </row>
    <row r="34" spans="2:105" ht="15" customHeight="1" x14ac:dyDescent="0.25">
      <c r="B34" s="696"/>
      <c r="C34" s="736" t="s">
        <v>322</v>
      </c>
      <c r="D34" s="737"/>
      <c r="E34" s="738"/>
      <c r="F34" s="739">
        <f>SUM(F30:F33)</f>
        <v>75227.63956341274</v>
      </c>
      <c r="G34" s="739">
        <f>SUM(G30:G33)</f>
        <v>36086.477093206944</v>
      </c>
      <c r="H34" s="739"/>
      <c r="I34" s="739">
        <f>SUM(I30:I33)</f>
        <v>57048.532894736847</v>
      </c>
      <c r="J34" s="739"/>
      <c r="K34" s="739">
        <f>SUM(K30:K33)</f>
        <v>55890.265587167072</v>
      </c>
      <c r="L34" s="739"/>
      <c r="M34" s="739">
        <f>SUM(M30:M33)</f>
        <v>33210.000000000007</v>
      </c>
      <c r="N34" s="739"/>
      <c r="O34" s="739">
        <f>SUM(O30:O33)</f>
        <v>0</v>
      </c>
      <c r="P34" s="739"/>
      <c r="Q34" s="740">
        <f>SUM(Q30:Q33)</f>
        <v>0</v>
      </c>
      <c r="R34" s="699"/>
      <c r="T34" s="258">
        <v>25</v>
      </c>
      <c r="U34" s="259" t="s">
        <v>321</v>
      </c>
      <c r="V34" s="484">
        <v>24747.7</v>
      </c>
      <c r="W34" s="484">
        <v>654674531.25300002</v>
      </c>
      <c r="X34" s="484">
        <v>78611512.544</v>
      </c>
      <c r="Y34" s="484">
        <v>57269.33</v>
      </c>
      <c r="Z34" s="484">
        <v>100046.936</v>
      </c>
      <c r="AA34" s="484">
        <v>66337989.476000004</v>
      </c>
      <c r="AB34" s="484">
        <v>1.4570000000000001</v>
      </c>
      <c r="AC34" s="484">
        <v>2.5449999999999999</v>
      </c>
      <c r="AD34" s="484">
        <v>1687.742</v>
      </c>
      <c r="AE34" s="484">
        <v>0.17499999999999999</v>
      </c>
      <c r="AF34" s="484">
        <v>0.16600000000000001</v>
      </c>
      <c r="AG34" s="484">
        <v>0.30599999999999999</v>
      </c>
      <c r="AH34" s="484">
        <v>202.65899999999999</v>
      </c>
      <c r="AI34" s="484">
        <v>1.7070000000000001</v>
      </c>
      <c r="AJ34" s="484">
        <v>2.992</v>
      </c>
      <c r="AK34" s="484">
        <v>1998.954</v>
      </c>
      <c r="AL34" s="484">
        <v>0.17299999999999999</v>
      </c>
      <c r="AM34" s="484">
        <v>0.30399999999999999</v>
      </c>
      <c r="AN34" s="484">
        <v>203.07</v>
      </c>
      <c r="AO34" s="484">
        <v>60321889.5</v>
      </c>
      <c r="AP34" s="484">
        <v>73789.774000000005</v>
      </c>
      <c r="AQ34" s="484">
        <v>6035794.3640000001</v>
      </c>
      <c r="AR34" s="484">
        <v>8979.1919999999991</v>
      </c>
      <c r="AS34" s="484">
        <v>76.734167641140104</v>
      </c>
      <c r="AT34" s="484">
        <v>9.3866371482243402E-2</v>
      </c>
      <c r="AU34" s="484">
        <v>7.6780031330852898</v>
      </c>
      <c r="AV34" s="484">
        <v>1.14222354425749E-2</v>
      </c>
      <c r="AW34" s="484">
        <v>84.693819423401706</v>
      </c>
      <c r="AX34" s="260">
        <v>8327.9727112052351</v>
      </c>
      <c r="AY34" s="261">
        <v>9833.034821412677</v>
      </c>
      <c r="BW34" s="477" t="str">
        <f t="shared" si="1"/>
        <v>MO</v>
      </c>
      <c r="BX34" s="501">
        <f t="shared" si="2"/>
        <v>1687.742</v>
      </c>
      <c r="BY34" s="501">
        <f t="shared" si="3"/>
        <v>2.5449999999999999</v>
      </c>
      <c r="BZ34" s="501">
        <f t="shared" si="4"/>
        <v>1.4570000000000001</v>
      </c>
      <c r="CA34" s="502">
        <f t="shared" si="5"/>
        <v>8327.9727112052351</v>
      </c>
      <c r="CB34" s="476"/>
      <c r="CP34" s="477" t="s">
        <v>92</v>
      </c>
      <c r="CQ34" s="482" t="s">
        <v>323</v>
      </c>
      <c r="CR34" s="413"/>
      <c r="CU34" s="482" t="s">
        <v>91</v>
      </c>
      <c r="CV34" s="482" t="s">
        <v>91</v>
      </c>
      <c r="CW34" s="483" t="s">
        <v>623</v>
      </c>
      <c r="CX34" s="483" t="s">
        <v>623</v>
      </c>
    </row>
    <row r="35" spans="2:105" ht="15" customHeight="1" x14ac:dyDescent="0.35">
      <c r="B35" s="696"/>
      <c r="C35" s="741" t="s">
        <v>324</v>
      </c>
      <c r="D35" s="742"/>
      <c r="E35" s="819" t="s">
        <v>325</v>
      </c>
      <c r="F35" s="743"/>
      <c r="G35" s="744"/>
      <c r="H35" s="744"/>
      <c r="I35" s="744"/>
      <c r="J35" s="744"/>
      <c r="K35" s="744"/>
      <c r="L35" s="744"/>
      <c r="M35" s="744"/>
      <c r="N35" s="744"/>
      <c r="O35" s="744"/>
      <c r="P35" s="744"/>
      <c r="Q35" s="745"/>
      <c r="R35" s="699"/>
      <c r="T35" s="258"/>
      <c r="U35" s="259"/>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0"/>
      <c r="AY35" s="261"/>
      <c r="BW35" s="477" t="str">
        <f t="shared" ref="BW35:BW60" si="7">U36</f>
        <v>MS</v>
      </c>
      <c r="BX35" s="501">
        <f t="shared" ref="BX35:BX60" si="8">AD36</f>
        <v>940.71600000000001</v>
      </c>
      <c r="BY35" s="501">
        <f t="shared" ref="BY35:BY60" si="9">AC36</f>
        <v>0.16200000000000001</v>
      </c>
      <c r="BZ35" s="501">
        <f t="shared" ref="BZ35:BZ60" si="10">AB36</f>
        <v>0.42799999999999999</v>
      </c>
      <c r="CA35" s="502">
        <f t="shared" ref="CA35:CA60" si="11">AX36</f>
        <v>7258.579171175903</v>
      </c>
      <c r="CB35" s="476"/>
      <c r="CP35" s="477" t="s">
        <v>93</v>
      </c>
      <c r="CQ35" s="482" t="s">
        <v>326</v>
      </c>
      <c r="CR35" s="413"/>
      <c r="CU35" s="482" t="s">
        <v>92</v>
      </c>
      <c r="CV35" s="482" t="s">
        <v>92</v>
      </c>
    </row>
    <row r="36" spans="2:105" ht="15" customHeight="1" x14ac:dyDescent="0.25">
      <c r="B36" s="696"/>
      <c r="C36" s="735" t="s">
        <v>327</v>
      </c>
      <c r="D36" s="729"/>
      <c r="E36" s="820"/>
      <c r="F36" s="731">
        <f>E115</f>
        <v>13510472.152734781</v>
      </c>
      <c r="G36" s="731">
        <f>G115</f>
        <v>0</v>
      </c>
      <c r="H36" s="731"/>
      <c r="I36" s="731">
        <f>I115</f>
        <v>0</v>
      </c>
      <c r="J36" s="731"/>
      <c r="K36" s="731">
        <f>K115</f>
        <v>0</v>
      </c>
      <c r="L36" s="731"/>
      <c r="M36" s="731">
        <f>M115</f>
        <v>0</v>
      </c>
      <c r="N36" s="731"/>
      <c r="O36" s="731">
        <f>O115</f>
        <v>0</v>
      </c>
      <c r="P36" s="731"/>
      <c r="Q36" s="732">
        <f>Q115</f>
        <v>0</v>
      </c>
      <c r="R36" s="699"/>
      <c r="T36" s="258">
        <v>26</v>
      </c>
      <c r="U36" s="259" t="s">
        <v>323</v>
      </c>
      <c r="V36" s="484">
        <v>19599.7</v>
      </c>
      <c r="W36" s="484">
        <v>456428857.875</v>
      </c>
      <c r="X36" s="484">
        <v>62881294.963</v>
      </c>
      <c r="Y36" s="484">
        <v>13464.768</v>
      </c>
      <c r="Z36" s="484">
        <v>5081.933</v>
      </c>
      <c r="AA36" s="484">
        <v>29576726.265999999</v>
      </c>
      <c r="AB36" s="484">
        <v>0.42799999999999999</v>
      </c>
      <c r="AC36" s="484">
        <v>0.16200000000000001</v>
      </c>
      <c r="AD36" s="484">
        <v>940.71600000000001</v>
      </c>
      <c r="AE36" s="484">
        <v>5.8999999999999997E-2</v>
      </c>
      <c r="AF36" s="484">
        <v>6.8000000000000005E-2</v>
      </c>
      <c r="AG36" s="484">
        <v>2.1999999999999999E-2</v>
      </c>
      <c r="AH36" s="484">
        <v>129.601</v>
      </c>
      <c r="AI36" s="484">
        <v>0.47399999999999998</v>
      </c>
      <c r="AJ36" s="484">
        <v>0.129</v>
      </c>
      <c r="AK36" s="484">
        <v>1060.249</v>
      </c>
      <c r="AL36" s="484">
        <v>5.8999999999999997E-2</v>
      </c>
      <c r="AM36" s="484">
        <v>1.6E-2</v>
      </c>
      <c r="AN36" s="484">
        <v>131.47900000000001</v>
      </c>
      <c r="AO36" s="484">
        <v>5342026.01</v>
      </c>
      <c r="AP36" s="484">
        <v>17785.282999999999</v>
      </c>
      <c r="AQ36" s="484">
        <v>50094738.667000003</v>
      </c>
      <c r="AR36" s="484">
        <v>5272.3540000000003</v>
      </c>
      <c r="AS36" s="484">
        <v>8.4954134811451105</v>
      </c>
      <c r="AT36" s="484">
        <v>2.82839006551713E-2</v>
      </c>
      <c r="AU36" s="484">
        <v>79.665564602159805</v>
      </c>
      <c r="AV36" s="484">
        <v>8.3846142203581903E-3</v>
      </c>
      <c r="AW36" s="484">
        <v>90.621579910506696</v>
      </c>
      <c r="AX36" s="260">
        <v>7258.579171175903</v>
      </c>
      <c r="AY36" s="261">
        <v>8009.7689507687683</v>
      </c>
      <c r="BW36" s="477" t="str">
        <f t="shared" si="7"/>
        <v>MT</v>
      </c>
      <c r="BX36" s="501">
        <f t="shared" si="8"/>
        <v>1251.0219999999999</v>
      </c>
      <c r="BY36" s="501">
        <f t="shared" si="9"/>
        <v>1.022</v>
      </c>
      <c r="BZ36" s="501">
        <f t="shared" si="10"/>
        <v>1.123</v>
      </c>
      <c r="CA36" s="502">
        <f t="shared" si="11"/>
        <v>6046.7973931453043</v>
      </c>
      <c r="CB36" s="476"/>
      <c r="CP36" s="477" t="s">
        <v>94</v>
      </c>
      <c r="CQ36" s="482" t="s">
        <v>328</v>
      </c>
      <c r="CR36" s="413"/>
      <c r="CU36" s="482" t="s">
        <v>93</v>
      </c>
      <c r="CV36" s="482" t="s">
        <v>93</v>
      </c>
    </row>
    <row r="37" spans="2:105" ht="15" customHeight="1" x14ac:dyDescent="0.25">
      <c r="B37" s="696"/>
      <c r="C37" s="735" t="s">
        <v>315</v>
      </c>
      <c r="D37" s="729"/>
      <c r="E37" s="820"/>
      <c r="F37" s="731">
        <f>E119</f>
        <v>0</v>
      </c>
      <c r="G37" s="731">
        <f>G119</f>
        <v>4245467.893318464</v>
      </c>
      <c r="H37" s="731"/>
      <c r="I37" s="731">
        <f>I119</f>
        <v>6711592.1052631577</v>
      </c>
      <c r="J37" s="731"/>
      <c r="K37" s="731">
        <f>K119</f>
        <v>6575325.3631961262</v>
      </c>
      <c r="L37" s="731"/>
      <c r="M37" s="731">
        <f>M119</f>
        <v>3907058.8235294125</v>
      </c>
      <c r="N37" s="731"/>
      <c r="O37" s="731">
        <f>O119</f>
        <v>0</v>
      </c>
      <c r="P37" s="731"/>
      <c r="Q37" s="732">
        <f>Q119</f>
        <v>0</v>
      </c>
      <c r="R37" s="699"/>
      <c r="T37" s="258">
        <v>27</v>
      </c>
      <c r="U37" s="259" t="s">
        <v>326</v>
      </c>
      <c r="V37" s="484">
        <v>7258.5</v>
      </c>
      <c r="W37" s="484">
        <v>168001376.72799999</v>
      </c>
      <c r="X37" s="484">
        <v>27783529.991999999</v>
      </c>
      <c r="Y37" s="484">
        <v>15603.433999999999</v>
      </c>
      <c r="Z37" s="484">
        <v>14192.894</v>
      </c>
      <c r="AA37" s="484">
        <v>17378904.074000001</v>
      </c>
      <c r="AB37" s="484">
        <v>1.123</v>
      </c>
      <c r="AC37" s="484">
        <v>1.022</v>
      </c>
      <c r="AD37" s="484">
        <v>1251.0219999999999</v>
      </c>
      <c r="AE37" s="484">
        <v>0.186</v>
      </c>
      <c r="AF37" s="484">
        <v>0.193</v>
      </c>
      <c r="AG37" s="484">
        <v>0.16900000000000001</v>
      </c>
      <c r="AH37" s="484">
        <v>206.89</v>
      </c>
      <c r="AI37" s="484">
        <v>2.0489999999999999</v>
      </c>
      <c r="AJ37" s="484">
        <v>1.8660000000000001</v>
      </c>
      <c r="AK37" s="484">
        <v>2284.625</v>
      </c>
      <c r="AL37" s="484">
        <v>0.186</v>
      </c>
      <c r="AM37" s="484">
        <v>0.16900000000000001</v>
      </c>
      <c r="AN37" s="484">
        <v>207.072</v>
      </c>
      <c r="AO37" s="484">
        <v>14269221.559</v>
      </c>
      <c r="AP37" s="484">
        <v>459922.71</v>
      </c>
      <c r="AQ37" s="484">
        <v>476060.66800000001</v>
      </c>
      <c r="AR37" s="484">
        <v>8585.7199999999993</v>
      </c>
      <c r="AS37" s="484">
        <v>51.358564320246401</v>
      </c>
      <c r="AT37" s="484">
        <v>1.65537902584312</v>
      </c>
      <c r="AU37" s="484">
        <v>1.7134636487858199</v>
      </c>
      <c r="AV37" s="484">
        <v>3.09021940007306E-2</v>
      </c>
      <c r="AW37" s="484">
        <v>56.007315394266598</v>
      </c>
      <c r="AX37" s="260">
        <v>6046.7973931453043</v>
      </c>
      <c r="AY37" s="261">
        <v>10796.44255200226</v>
      </c>
      <c r="BW37" s="477" t="str">
        <f t="shared" si="7"/>
        <v>NC</v>
      </c>
      <c r="BX37" s="501">
        <f t="shared" si="8"/>
        <v>867.44100000000003</v>
      </c>
      <c r="BY37" s="501">
        <f t="shared" si="9"/>
        <v>0.44500000000000001</v>
      </c>
      <c r="BZ37" s="501">
        <f t="shared" si="10"/>
        <v>0.55800000000000005</v>
      </c>
      <c r="CA37" s="502">
        <f t="shared" si="11"/>
        <v>5386.1170518040526</v>
      </c>
      <c r="CB37" s="476"/>
      <c r="CP37" s="477" t="s">
        <v>95</v>
      </c>
      <c r="CQ37" s="482" t="s">
        <v>329</v>
      </c>
      <c r="CR37" s="413"/>
      <c r="CU37" s="482" t="s">
        <v>94</v>
      </c>
      <c r="CV37" s="482" t="s">
        <v>94</v>
      </c>
    </row>
    <row r="38" spans="2:105" ht="15" customHeight="1" x14ac:dyDescent="0.25">
      <c r="B38" s="696"/>
      <c r="C38" s="735" t="s">
        <v>317</v>
      </c>
      <c r="D38" s="729"/>
      <c r="E38" s="820"/>
      <c r="F38" s="731">
        <f>E123</f>
        <v>0</v>
      </c>
      <c r="G38" s="731">
        <f>G123</f>
        <v>0</v>
      </c>
      <c r="H38" s="731"/>
      <c r="I38" s="731">
        <f>I123</f>
        <v>0</v>
      </c>
      <c r="J38" s="731"/>
      <c r="K38" s="731">
        <f>K123</f>
        <v>0</v>
      </c>
      <c r="L38" s="731"/>
      <c r="M38" s="731">
        <f>M123</f>
        <v>0</v>
      </c>
      <c r="N38" s="731"/>
      <c r="O38" s="731">
        <f>O123</f>
        <v>0</v>
      </c>
      <c r="P38" s="731"/>
      <c r="Q38" s="732">
        <f>Q123</f>
        <v>0</v>
      </c>
      <c r="R38" s="699"/>
      <c r="T38" s="258">
        <v>28</v>
      </c>
      <c r="U38" s="259" t="s">
        <v>328</v>
      </c>
      <c r="V38" s="484">
        <v>48223.6</v>
      </c>
      <c r="W38" s="484">
        <v>704332577.08500004</v>
      </c>
      <c r="X38" s="484">
        <v>130768152.699</v>
      </c>
      <c r="Y38" s="484">
        <v>36492.383999999998</v>
      </c>
      <c r="Z38" s="484">
        <v>29106.388999999999</v>
      </c>
      <c r="AA38" s="484">
        <v>56716823.493000001</v>
      </c>
      <c r="AB38" s="484">
        <v>0.55800000000000005</v>
      </c>
      <c r="AC38" s="484">
        <v>0.44500000000000001</v>
      </c>
      <c r="AD38" s="484">
        <v>867.44100000000003</v>
      </c>
      <c r="AE38" s="484">
        <v>0.104</v>
      </c>
      <c r="AF38" s="484">
        <v>0.1</v>
      </c>
      <c r="AG38" s="484">
        <v>8.3000000000000004E-2</v>
      </c>
      <c r="AH38" s="484">
        <v>161.05099999999999</v>
      </c>
      <c r="AI38" s="484">
        <v>0.83599999999999997</v>
      </c>
      <c r="AJ38" s="484">
        <v>0.61</v>
      </c>
      <c r="AK38" s="484">
        <v>1462.692</v>
      </c>
      <c r="AL38" s="484">
        <v>9.5000000000000001E-2</v>
      </c>
      <c r="AM38" s="484">
        <v>6.9000000000000006E-2</v>
      </c>
      <c r="AN38" s="484">
        <v>165.833</v>
      </c>
      <c r="AO38" s="484">
        <v>37435780.008000001</v>
      </c>
      <c r="AP38" s="484">
        <v>251193.38200000001</v>
      </c>
      <c r="AQ38" s="484">
        <v>39251101.714000002</v>
      </c>
      <c r="AR38" s="484">
        <v>362939.45</v>
      </c>
      <c r="AS38" s="484">
        <v>28.627597216891498</v>
      </c>
      <c r="AT38" s="484">
        <v>0.192090640609279</v>
      </c>
      <c r="AU38" s="484">
        <v>30.015795849519002</v>
      </c>
      <c r="AV38" s="484">
        <v>0.27754422070275497</v>
      </c>
      <c r="AW38" s="484">
        <v>61.2905527821029</v>
      </c>
      <c r="AX38" s="260">
        <v>5386.1170518040526</v>
      </c>
      <c r="AY38" s="261">
        <v>8787.8421914977444</v>
      </c>
      <c r="BW38" s="531" t="str">
        <f t="shared" si="7"/>
        <v>ND</v>
      </c>
      <c r="BX38" s="532">
        <f t="shared" si="8"/>
        <v>1663.7539999999999</v>
      </c>
      <c r="BY38" s="532">
        <f t="shared" si="9"/>
        <v>2.3940000000000001</v>
      </c>
      <c r="BZ38" s="532">
        <f t="shared" si="10"/>
        <v>1.98</v>
      </c>
      <c r="CA38" s="533">
        <f t="shared" si="11"/>
        <v>7788.3908093603332</v>
      </c>
      <c r="CB38" s="476"/>
      <c r="CP38" s="531" t="s">
        <v>96</v>
      </c>
      <c r="CQ38" s="503" t="s">
        <v>330</v>
      </c>
      <c r="CR38" s="413"/>
      <c r="CU38" s="482" t="s">
        <v>95</v>
      </c>
      <c r="CV38" s="482" t="s">
        <v>95</v>
      </c>
    </row>
    <row r="39" spans="2:105" ht="15" customHeight="1" x14ac:dyDescent="0.25">
      <c r="B39" s="696"/>
      <c r="C39" s="735" t="s">
        <v>320</v>
      </c>
      <c r="D39" s="729"/>
      <c r="E39" s="820"/>
      <c r="F39" s="731">
        <f>E127</f>
        <v>0</v>
      </c>
      <c r="G39" s="731">
        <f>G127</f>
        <v>0</v>
      </c>
      <c r="H39" s="731"/>
      <c r="I39" s="731">
        <f>I127</f>
        <v>0</v>
      </c>
      <c r="J39" s="731"/>
      <c r="K39" s="731">
        <f>K127</f>
        <v>0</v>
      </c>
      <c r="L39" s="731"/>
      <c r="M39" s="731">
        <f>M127</f>
        <v>0</v>
      </c>
      <c r="N39" s="731"/>
      <c r="O39" s="731">
        <f>O127</f>
        <v>0</v>
      </c>
      <c r="P39" s="731"/>
      <c r="Q39" s="732">
        <f>Q127</f>
        <v>0</v>
      </c>
      <c r="R39" s="699"/>
      <c r="T39" s="262">
        <v>29</v>
      </c>
      <c r="U39" s="263" t="s">
        <v>329</v>
      </c>
      <c r="V39" s="484">
        <v>9442.2999999999993</v>
      </c>
      <c r="W39" s="484">
        <v>294840840.94700003</v>
      </c>
      <c r="X39" s="484">
        <v>37856451.758000001</v>
      </c>
      <c r="Y39" s="484">
        <v>37479.177000000003</v>
      </c>
      <c r="Z39" s="484">
        <v>45313.243999999999</v>
      </c>
      <c r="AA39" s="484">
        <v>31491914.605</v>
      </c>
      <c r="AB39" s="484">
        <v>1.98</v>
      </c>
      <c r="AC39" s="484">
        <v>2.3940000000000001</v>
      </c>
      <c r="AD39" s="484">
        <v>1663.7539999999999</v>
      </c>
      <c r="AE39" s="484">
        <v>0.254</v>
      </c>
      <c r="AF39" s="484">
        <v>0.23599999999999999</v>
      </c>
      <c r="AG39" s="484">
        <v>0.307</v>
      </c>
      <c r="AH39" s="484">
        <v>213.62</v>
      </c>
      <c r="AI39" s="484">
        <v>2.7029999999999998</v>
      </c>
      <c r="AJ39" s="484">
        <v>3.2679999999999998</v>
      </c>
      <c r="AK39" s="484">
        <v>2271.5259999999998</v>
      </c>
      <c r="AL39" s="484">
        <v>0.254</v>
      </c>
      <c r="AM39" s="484">
        <v>0.307</v>
      </c>
      <c r="AN39" s="484">
        <v>213.643</v>
      </c>
      <c r="AO39" s="484">
        <v>26580349.545000002</v>
      </c>
      <c r="AP39" s="484">
        <v>30102.098999999998</v>
      </c>
      <c r="AQ39" s="484">
        <v>1071113.726</v>
      </c>
      <c r="AR39" s="484">
        <v>45969.347999999998</v>
      </c>
      <c r="AS39" s="484">
        <v>70.213525934765698</v>
      </c>
      <c r="AT39" s="484">
        <v>7.9516430182723793E-2</v>
      </c>
      <c r="AU39" s="484">
        <v>2.8294086671908198</v>
      </c>
      <c r="AV39" s="484">
        <v>0.121430683315052</v>
      </c>
      <c r="AW39" s="484">
        <v>73.362725394558595</v>
      </c>
      <c r="AX39" s="264">
        <v>7788.3908093603332</v>
      </c>
      <c r="AY39" s="265">
        <v>10616.277920023123</v>
      </c>
      <c r="AZ39" s="420"/>
      <c r="BA39" s="552"/>
      <c r="BB39" s="552"/>
      <c r="BC39" s="552"/>
      <c r="BD39" s="552"/>
      <c r="BE39" s="552"/>
      <c r="BF39" s="552"/>
      <c r="BG39" s="420"/>
      <c r="BH39" s="552"/>
      <c r="BI39" s="552"/>
      <c r="BJ39" s="552"/>
      <c r="BK39" s="552"/>
      <c r="BL39" s="552"/>
      <c r="BM39" s="552"/>
      <c r="BN39" s="552"/>
      <c r="BO39" s="552"/>
      <c r="BP39" s="420"/>
      <c r="BQ39" s="420"/>
      <c r="BR39" s="420"/>
      <c r="BS39" s="420"/>
      <c r="BT39" s="420"/>
      <c r="BU39" s="420"/>
      <c r="BV39" s="420"/>
      <c r="BW39" s="531" t="str">
        <f t="shared" si="7"/>
        <v>NE</v>
      </c>
      <c r="BX39" s="532">
        <f t="shared" si="8"/>
        <v>1281.153</v>
      </c>
      <c r="BY39" s="532">
        <f t="shared" si="9"/>
        <v>2.7709999999999999</v>
      </c>
      <c r="BZ39" s="532">
        <f t="shared" si="10"/>
        <v>1.129</v>
      </c>
      <c r="CA39" s="533">
        <f t="shared" si="11"/>
        <v>6203.5512970278878</v>
      </c>
      <c r="CB39" s="534"/>
      <c r="CC39" s="420"/>
      <c r="CD39" s="420"/>
      <c r="CE39" s="420"/>
      <c r="CF39" s="420"/>
      <c r="CG39" s="420"/>
      <c r="CH39" s="420"/>
      <c r="CI39" s="420"/>
      <c r="CJ39" s="420"/>
      <c r="CK39" s="420"/>
      <c r="CL39" s="420"/>
      <c r="CM39" s="420"/>
      <c r="CN39" s="420"/>
      <c r="CO39" s="420"/>
      <c r="CP39" s="531" t="s">
        <v>97</v>
      </c>
      <c r="CQ39" s="503" t="s">
        <v>331</v>
      </c>
      <c r="CR39" s="535"/>
      <c r="CS39" s="420"/>
      <c r="CU39" s="503" t="s">
        <v>96</v>
      </c>
      <c r="CV39" s="503" t="s">
        <v>96</v>
      </c>
    </row>
    <row r="40" spans="2:105" ht="15" customHeight="1" x14ac:dyDescent="0.35">
      <c r="B40" s="696"/>
      <c r="C40" s="736" t="s">
        <v>332</v>
      </c>
      <c r="D40" s="737"/>
      <c r="E40" s="821"/>
      <c r="F40" s="739">
        <f>E130</f>
        <v>13510472.152734781</v>
      </c>
      <c r="G40" s="739">
        <f>G130</f>
        <v>4245467.893318464</v>
      </c>
      <c r="H40" s="739"/>
      <c r="I40" s="739">
        <f>I130</f>
        <v>6711592.1052631577</v>
      </c>
      <c r="J40" s="739"/>
      <c r="K40" s="739">
        <f>K130</f>
        <v>6575325.3631961262</v>
      </c>
      <c r="L40" s="739"/>
      <c r="M40" s="739">
        <f>M130</f>
        <v>3907058.8235294125</v>
      </c>
      <c r="N40" s="739"/>
      <c r="O40" s="739">
        <f>O130</f>
        <v>0</v>
      </c>
      <c r="P40" s="739"/>
      <c r="Q40" s="740">
        <f>Q130</f>
        <v>0</v>
      </c>
      <c r="R40" s="699"/>
      <c r="T40" s="262">
        <v>30</v>
      </c>
      <c r="U40" s="263" t="s">
        <v>330</v>
      </c>
      <c r="V40" s="484">
        <v>10004.200000000001</v>
      </c>
      <c r="W40" s="484">
        <v>230758728.43000001</v>
      </c>
      <c r="X40" s="484">
        <v>37197843.200000003</v>
      </c>
      <c r="Y40" s="484">
        <v>20990.100999999999</v>
      </c>
      <c r="Z40" s="484">
        <v>51539.298999999999</v>
      </c>
      <c r="AA40" s="484">
        <v>23828059.636999998</v>
      </c>
      <c r="AB40" s="484">
        <v>1.129</v>
      </c>
      <c r="AC40" s="484">
        <v>2.7709999999999999</v>
      </c>
      <c r="AD40" s="484">
        <v>1281.153</v>
      </c>
      <c r="AE40" s="484">
        <v>0.182</v>
      </c>
      <c r="AF40" s="484">
        <v>0.18</v>
      </c>
      <c r="AG40" s="484">
        <v>0.44700000000000001</v>
      </c>
      <c r="AH40" s="484">
        <v>206.51900000000001</v>
      </c>
      <c r="AI40" s="484">
        <v>1.8</v>
      </c>
      <c r="AJ40" s="484">
        <v>4.5910000000000002</v>
      </c>
      <c r="AK40" s="484">
        <v>2122.9810000000002</v>
      </c>
      <c r="AL40" s="484">
        <v>0.17599999999999999</v>
      </c>
      <c r="AM40" s="484">
        <v>0.44800000000000001</v>
      </c>
      <c r="AN40" s="484">
        <v>207.203</v>
      </c>
      <c r="AO40" s="484">
        <v>21897715.076000001</v>
      </c>
      <c r="AP40" s="484">
        <v>-17939.888999999999</v>
      </c>
      <c r="AQ40" s="484">
        <v>537861.68599999999</v>
      </c>
      <c r="AR40" s="484">
        <v>0</v>
      </c>
      <c r="AS40" s="484">
        <v>58.839861157809501</v>
      </c>
      <c r="AT40" s="484">
        <v>0</v>
      </c>
      <c r="AU40" s="484">
        <v>1.4452515623893301</v>
      </c>
      <c r="AV40" s="484">
        <v>0</v>
      </c>
      <c r="AW40" s="484">
        <v>60.499745850154802</v>
      </c>
      <c r="AX40" s="264">
        <v>6203.5512970278878</v>
      </c>
      <c r="AY40" s="265">
        <v>10257.105774687478</v>
      </c>
      <c r="AZ40" s="420"/>
      <c r="BA40" s="552"/>
      <c r="BB40" s="552"/>
      <c r="BC40" s="552"/>
      <c r="BD40" s="552"/>
      <c r="BE40" s="552"/>
      <c r="BF40" s="552"/>
      <c r="BG40" s="420"/>
      <c r="BH40" s="552"/>
      <c r="BI40" s="552"/>
      <c r="BJ40" s="552"/>
      <c r="BK40" s="552"/>
      <c r="BL40" s="552"/>
      <c r="BM40" s="552"/>
      <c r="BN40" s="552"/>
      <c r="BO40" s="552"/>
      <c r="BP40" s="420"/>
      <c r="BQ40" s="420"/>
      <c r="BR40" s="420"/>
      <c r="BS40" s="420"/>
      <c r="BT40" s="420"/>
      <c r="BU40" s="420"/>
      <c r="BV40" s="420"/>
      <c r="BW40" s="531" t="str">
        <f t="shared" si="7"/>
        <v>NH</v>
      </c>
      <c r="BX40" s="532">
        <f t="shared" si="8"/>
        <v>310.56400000000002</v>
      </c>
      <c r="BY40" s="532">
        <f t="shared" si="9"/>
        <v>7.9000000000000001E-2</v>
      </c>
      <c r="BZ40" s="532">
        <f t="shared" si="10"/>
        <v>0.23599999999999999</v>
      </c>
      <c r="CA40" s="533">
        <f t="shared" si="11"/>
        <v>3533.963001583968</v>
      </c>
      <c r="CB40" s="534"/>
      <c r="CC40" s="420"/>
      <c r="CD40" s="420"/>
      <c r="CE40" s="420"/>
      <c r="CF40" s="420"/>
      <c r="CG40" s="420"/>
      <c r="CH40" s="420"/>
      <c r="CI40" s="420"/>
      <c r="CJ40" s="420"/>
      <c r="CK40" s="420"/>
      <c r="CL40" s="420"/>
      <c r="CM40" s="420"/>
      <c r="CN40" s="420"/>
      <c r="CO40" s="420"/>
      <c r="CP40" s="531" t="s">
        <v>98</v>
      </c>
      <c r="CQ40" s="503" t="s">
        <v>333</v>
      </c>
      <c r="CR40" s="535"/>
      <c r="CS40" s="420"/>
      <c r="CU40" s="503" t="s">
        <v>97</v>
      </c>
      <c r="CV40" s="503" t="s">
        <v>97</v>
      </c>
    </row>
    <row r="41" spans="2:105" ht="15" customHeight="1" x14ac:dyDescent="0.35">
      <c r="B41" s="696"/>
      <c r="C41" s="741" t="s">
        <v>334</v>
      </c>
      <c r="D41" s="742"/>
      <c r="E41" s="819" t="s">
        <v>325</v>
      </c>
      <c r="F41" s="746"/>
      <c r="G41" s="746"/>
      <c r="H41" s="746"/>
      <c r="I41" s="746"/>
      <c r="J41" s="746"/>
      <c r="K41" s="746"/>
      <c r="L41" s="746"/>
      <c r="M41" s="746"/>
      <c r="N41" s="746"/>
      <c r="O41" s="746"/>
      <c r="P41" s="746"/>
      <c r="Q41" s="747"/>
      <c r="R41" s="699"/>
      <c r="S41" s="420"/>
      <c r="T41" s="262">
        <v>31</v>
      </c>
      <c r="U41" s="263" t="s">
        <v>331</v>
      </c>
      <c r="V41" s="484">
        <v>4650.3</v>
      </c>
      <c r="W41" s="484">
        <v>68143617.017000005</v>
      </c>
      <c r="X41" s="484">
        <v>19282493.050000001</v>
      </c>
      <c r="Y41" s="484">
        <v>2270.683</v>
      </c>
      <c r="Z41" s="484">
        <v>759.01400000000001</v>
      </c>
      <c r="AA41" s="484">
        <v>2994227.2549999999</v>
      </c>
      <c r="AB41" s="484">
        <v>0.23599999999999999</v>
      </c>
      <c r="AC41" s="484">
        <v>7.9000000000000001E-2</v>
      </c>
      <c r="AD41" s="484">
        <v>310.56400000000002</v>
      </c>
      <c r="AE41" s="484">
        <v>6.7000000000000004E-2</v>
      </c>
      <c r="AF41" s="484">
        <v>5.7000000000000002E-2</v>
      </c>
      <c r="AG41" s="484">
        <v>2.1999999999999999E-2</v>
      </c>
      <c r="AH41" s="484">
        <v>87.88</v>
      </c>
      <c r="AI41" s="484">
        <v>0.315</v>
      </c>
      <c r="AJ41" s="484">
        <v>0.121</v>
      </c>
      <c r="AK41" s="484">
        <v>965.00599999999997</v>
      </c>
      <c r="AL41" s="484">
        <v>4.2000000000000003E-2</v>
      </c>
      <c r="AM41" s="484">
        <v>1.6E-2</v>
      </c>
      <c r="AN41" s="484">
        <v>127.824</v>
      </c>
      <c r="AO41" s="484">
        <v>422017.04100000003</v>
      </c>
      <c r="AP41" s="484">
        <v>38798.353000000003</v>
      </c>
      <c r="AQ41" s="484">
        <v>4744436.0310000004</v>
      </c>
      <c r="AR41" s="484">
        <v>0</v>
      </c>
      <c r="AS41" s="484">
        <v>2.1886020590453898</v>
      </c>
      <c r="AT41" s="484">
        <v>0.201210252226213</v>
      </c>
      <c r="AU41" s="484">
        <v>24.604889039198198</v>
      </c>
      <c r="AV41" s="484">
        <v>0</v>
      </c>
      <c r="AW41" s="484">
        <v>36.009970460511099</v>
      </c>
      <c r="AX41" s="264">
        <v>3533.963001583968</v>
      </c>
      <c r="AY41" s="265">
        <v>9813.8458527172716</v>
      </c>
      <c r="AZ41" s="420"/>
      <c r="BA41" s="552"/>
      <c r="BB41" s="552"/>
      <c r="BC41" s="552"/>
      <c r="BD41" s="552"/>
      <c r="BE41" s="552"/>
      <c r="BF41" s="552"/>
      <c r="BG41" s="420"/>
      <c r="BH41" s="552"/>
      <c r="BI41" s="552"/>
      <c r="BJ41" s="552"/>
      <c r="BK41" s="552"/>
      <c r="BL41" s="552"/>
      <c r="BM41" s="552"/>
      <c r="BN41" s="552"/>
      <c r="BO41" s="552"/>
      <c r="BP41" s="420"/>
      <c r="BQ41" s="420"/>
      <c r="BR41" s="420"/>
      <c r="BS41" s="420"/>
      <c r="BT41" s="420"/>
      <c r="BU41" s="420"/>
      <c r="BV41" s="420"/>
      <c r="BW41" s="531" t="str">
        <f t="shared" si="7"/>
        <v>NJ</v>
      </c>
      <c r="BX41" s="532">
        <f t="shared" si="8"/>
        <v>557.822</v>
      </c>
      <c r="BY41" s="532">
        <f t="shared" si="9"/>
        <v>5.3999999999999999E-2</v>
      </c>
      <c r="BZ41" s="532">
        <f t="shared" si="10"/>
        <v>0.23499999999999999</v>
      </c>
      <c r="CA41" s="533">
        <f t="shared" si="11"/>
        <v>4655.3946310239089</v>
      </c>
      <c r="CB41" s="534"/>
      <c r="CC41" s="420"/>
      <c r="CD41" s="420"/>
      <c r="CE41" s="420"/>
      <c r="CF41" s="420"/>
      <c r="CG41" s="420"/>
      <c r="CH41" s="420"/>
      <c r="CI41" s="420"/>
      <c r="CJ41" s="420"/>
      <c r="CK41" s="420"/>
      <c r="CL41" s="420"/>
      <c r="CM41" s="420"/>
      <c r="CN41" s="420"/>
      <c r="CO41" s="420"/>
      <c r="CP41" s="531" t="s">
        <v>99</v>
      </c>
      <c r="CQ41" s="503" t="s">
        <v>335</v>
      </c>
      <c r="CR41" s="535"/>
      <c r="CS41" s="420"/>
      <c r="CU41" s="503" t="s">
        <v>98</v>
      </c>
      <c r="CV41" s="503" t="s">
        <v>98</v>
      </c>
    </row>
    <row r="42" spans="2:105" ht="15" customHeight="1" x14ac:dyDescent="0.25">
      <c r="B42" s="696"/>
      <c r="C42" s="735" t="s">
        <v>327</v>
      </c>
      <c r="D42" s="729"/>
      <c r="E42" s="820"/>
      <c r="F42" s="731">
        <f>E116</f>
        <v>10775.426212590297</v>
      </c>
      <c r="G42" s="731">
        <f>G116</f>
        <v>0</v>
      </c>
      <c r="H42" s="731"/>
      <c r="I42" s="731">
        <f>I116</f>
        <v>0</v>
      </c>
      <c r="J42" s="731"/>
      <c r="K42" s="731">
        <f>K116</f>
        <v>0</v>
      </c>
      <c r="L42" s="731"/>
      <c r="M42" s="731">
        <f>M116</f>
        <v>0</v>
      </c>
      <c r="N42" s="731"/>
      <c r="O42" s="731">
        <f>O116</f>
        <v>0</v>
      </c>
      <c r="P42" s="731"/>
      <c r="Q42" s="732">
        <f>Q116</f>
        <v>0</v>
      </c>
      <c r="R42" s="699"/>
      <c r="T42" s="262">
        <v>32</v>
      </c>
      <c r="U42" s="263" t="s">
        <v>333</v>
      </c>
      <c r="V42" s="484">
        <v>28577</v>
      </c>
      <c r="W42" s="484">
        <v>361250228.14999998</v>
      </c>
      <c r="X42" s="484">
        <v>77598196.669</v>
      </c>
      <c r="Y42" s="484">
        <v>9131.36</v>
      </c>
      <c r="Z42" s="484">
        <v>2080.7979999999998</v>
      </c>
      <c r="AA42" s="484">
        <v>21643003.081</v>
      </c>
      <c r="AB42" s="484">
        <v>0.23499999999999999</v>
      </c>
      <c r="AC42" s="484">
        <v>5.3999999999999999E-2</v>
      </c>
      <c r="AD42" s="484">
        <v>557.822</v>
      </c>
      <c r="AE42" s="484">
        <v>5.0999999999999997E-2</v>
      </c>
      <c r="AF42" s="484">
        <v>0.05</v>
      </c>
      <c r="AG42" s="484">
        <v>1.2E-2</v>
      </c>
      <c r="AH42" s="484">
        <v>119.82299999999999</v>
      </c>
      <c r="AI42" s="484">
        <v>0.22700000000000001</v>
      </c>
      <c r="AJ42" s="484">
        <v>5.8999999999999997E-2</v>
      </c>
      <c r="AK42" s="484">
        <v>914.08600000000001</v>
      </c>
      <c r="AL42" s="484">
        <v>3.1E-2</v>
      </c>
      <c r="AM42" s="484">
        <v>8.0000000000000002E-3</v>
      </c>
      <c r="AN42" s="484">
        <v>122.759</v>
      </c>
      <c r="AO42" s="484">
        <v>1314541.0660000001</v>
      </c>
      <c r="AP42" s="484">
        <v>146126.23199999999</v>
      </c>
      <c r="AQ42" s="484">
        <v>43807453.226000004</v>
      </c>
      <c r="AR42" s="484">
        <v>207167.75</v>
      </c>
      <c r="AS42" s="484">
        <v>1.6897993198771499</v>
      </c>
      <c r="AT42" s="484">
        <v>0.187840466788286</v>
      </c>
      <c r="AU42" s="484">
        <v>56.313040787761203</v>
      </c>
      <c r="AV42" s="484">
        <v>0.266307331208533</v>
      </c>
      <c r="AW42" s="484">
        <v>60.5005507428532</v>
      </c>
      <c r="AX42" s="264">
        <v>4655.3946310239089</v>
      </c>
      <c r="AY42" s="265">
        <v>7675.5547698229748</v>
      </c>
      <c r="AZ42" s="420"/>
      <c r="BA42" s="552"/>
      <c r="BB42" s="552"/>
      <c r="BC42" s="552"/>
      <c r="BD42" s="552"/>
      <c r="BE42" s="552"/>
      <c r="BF42" s="552"/>
      <c r="BG42" s="420"/>
      <c r="BH42" s="552"/>
      <c r="BI42" s="552"/>
      <c r="BJ42" s="552"/>
      <c r="BK42" s="552"/>
      <c r="BL42" s="552"/>
      <c r="BM42" s="552"/>
      <c r="BN42" s="552"/>
      <c r="BO42" s="552"/>
      <c r="BP42" s="420"/>
      <c r="BQ42" s="420"/>
      <c r="BR42" s="420"/>
      <c r="BS42" s="420"/>
      <c r="BT42" s="420"/>
      <c r="BU42" s="420"/>
      <c r="BV42" s="420"/>
      <c r="BW42" s="531" t="str">
        <f t="shared" si="7"/>
        <v>NM</v>
      </c>
      <c r="BX42" s="532">
        <f t="shared" si="8"/>
        <v>1572.7860000000001</v>
      </c>
      <c r="BY42" s="532">
        <f t="shared" si="9"/>
        <v>0.502</v>
      </c>
      <c r="BZ42" s="532">
        <f t="shared" si="10"/>
        <v>2.3530000000000002</v>
      </c>
      <c r="CA42" s="533">
        <f t="shared" si="11"/>
        <v>8693.4173975731464</v>
      </c>
      <c r="CB42" s="534"/>
      <c r="CC42" s="420"/>
      <c r="CD42" s="420"/>
      <c r="CE42" s="420"/>
      <c r="CF42" s="420"/>
      <c r="CG42" s="420"/>
      <c r="CH42" s="420"/>
      <c r="CI42" s="420"/>
      <c r="CJ42" s="420"/>
      <c r="CK42" s="420"/>
      <c r="CL42" s="420"/>
      <c r="CM42" s="420"/>
      <c r="CN42" s="420"/>
      <c r="CO42" s="420"/>
      <c r="CP42" s="531" t="s">
        <v>100</v>
      </c>
      <c r="CQ42" s="503" t="s">
        <v>336</v>
      </c>
      <c r="CR42" s="535"/>
      <c r="CS42" s="420"/>
      <c r="CU42" s="503" t="s">
        <v>99</v>
      </c>
      <c r="CV42" s="503" t="s">
        <v>99</v>
      </c>
    </row>
    <row r="43" spans="2:105" ht="15" customHeight="1" x14ac:dyDescent="0.25">
      <c r="B43" s="696"/>
      <c r="C43" s="735" t="s">
        <v>315</v>
      </c>
      <c r="D43" s="729"/>
      <c r="E43" s="820"/>
      <c r="F43" s="731">
        <f>E120</f>
        <v>0</v>
      </c>
      <c r="G43" s="731">
        <f>G120</f>
        <v>21.227339466592319</v>
      </c>
      <c r="H43" s="731"/>
      <c r="I43" s="731">
        <f>I120</f>
        <v>33.557960526315789</v>
      </c>
      <c r="J43" s="731"/>
      <c r="K43" s="731">
        <f>K120</f>
        <v>32.876626815980629</v>
      </c>
      <c r="L43" s="731"/>
      <c r="M43" s="731">
        <f>M120</f>
        <v>19.535294117647062</v>
      </c>
      <c r="N43" s="731"/>
      <c r="O43" s="731">
        <f>O120</f>
        <v>0</v>
      </c>
      <c r="P43" s="731"/>
      <c r="Q43" s="732">
        <f>Q120</f>
        <v>0</v>
      </c>
      <c r="R43" s="699"/>
      <c r="T43" s="262">
        <v>33</v>
      </c>
      <c r="U43" s="263" t="s">
        <v>335</v>
      </c>
      <c r="V43" s="484">
        <v>13285.9</v>
      </c>
      <c r="W43" s="484">
        <v>286209486.338</v>
      </c>
      <c r="X43" s="484">
        <v>32922552.000999998</v>
      </c>
      <c r="Y43" s="484">
        <v>38733.951999999997</v>
      </c>
      <c r="Z43" s="484">
        <v>8264.5239999999994</v>
      </c>
      <c r="AA43" s="484">
        <v>25890069.925000001</v>
      </c>
      <c r="AB43" s="484">
        <v>2.3530000000000002</v>
      </c>
      <c r="AC43" s="484">
        <v>0.502</v>
      </c>
      <c r="AD43" s="484">
        <v>1572.7860000000001</v>
      </c>
      <c r="AE43" s="484">
        <v>0.27100000000000002</v>
      </c>
      <c r="AF43" s="484">
        <v>0.26300000000000001</v>
      </c>
      <c r="AG43" s="484">
        <v>5.8000000000000003E-2</v>
      </c>
      <c r="AH43" s="484">
        <v>180.917</v>
      </c>
      <c r="AI43" s="484">
        <v>2.7280000000000002</v>
      </c>
      <c r="AJ43" s="484">
        <v>0.58199999999999996</v>
      </c>
      <c r="AK43" s="484">
        <v>1823.7929999999999</v>
      </c>
      <c r="AL43" s="484">
        <v>0.27100000000000002</v>
      </c>
      <c r="AM43" s="484">
        <v>5.8000000000000003E-2</v>
      </c>
      <c r="AN43" s="484">
        <v>180.92400000000001</v>
      </c>
      <c r="AO43" s="484">
        <v>18365269.5</v>
      </c>
      <c r="AP43" s="484">
        <v>51682.705999999998</v>
      </c>
      <c r="AQ43" s="484">
        <v>9957552.8790000007</v>
      </c>
      <c r="AR43" s="484">
        <v>0</v>
      </c>
      <c r="AS43" s="484">
        <v>55.783250920968698</v>
      </c>
      <c r="AT43" s="484">
        <v>0.156982687189679</v>
      </c>
      <c r="AU43" s="484">
        <v>30.2453863150808</v>
      </c>
      <c r="AV43" s="484">
        <v>0</v>
      </c>
      <c r="AW43" s="484">
        <v>86.240574327403905</v>
      </c>
      <c r="AX43" s="264">
        <v>8693.4173975731464</v>
      </c>
      <c r="AY43" s="265">
        <v>10080.426300194962</v>
      </c>
      <c r="AZ43" s="420"/>
      <c r="BA43" s="552"/>
      <c r="BB43" s="552"/>
      <c r="BC43" s="552"/>
      <c r="BD43" s="552"/>
      <c r="BE43" s="552"/>
      <c r="BF43" s="552"/>
      <c r="BG43" s="420"/>
      <c r="BH43" s="552"/>
      <c r="BI43" s="552"/>
      <c r="BJ43" s="552"/>
      <c r="BK43" s="552"/>
      <c r="BL43" s="552"/>
      <c r="BM43" s="552"/>
      <c r="BN43" s="552"/>
      <c r="BO43" s="552"/>
      <c r="BP43" s="420"/>
      <c r="BQ43" s="420"/>
      <c r="BR43" s="420"/>
      <c r="BS43" s="420"/>
      <c r="BT43" s="420"/>
      <c r="BU43" s="420"/>
      <c r="BV43" s="420"/>
      <c r="BW43" s="531" t="str">
        <f t="shared" si="7"/>
        <v>NV</v>
      </c>
      <c r="BX43" s="532">
        <f t="shared" si="8"/>
        <v>769.91200000000003</v>
      </c>
      <c r="BY43" s="532">
        <f t="shared" si="9"/>
        <v>0.159</v>
      </c>
      <c r="BZ43" s="532">
        <f t="shared" si="10"/>
        <v>0.47699999999999998</v>
      </c>
      <c r="CA43" s="533">
        <f t="shared" si="11"/>
        <v>6005.2409429940308</v>
      </c>
      <c r="CB43" s="534"/>
      <c r="CC43" s="420"/>
      <c r="CD43" s="420"/>
      <c r="CE43" s="420"/>
      <c r="CF43" s="420"/>
      <c r="CG43" s="420"/>
      <c r="CH43" s="420"/>
      <c r="CI43" s="420"/>
      <c r="CJ43" s="420"/>
      <c r="CK43" s="420"/>
      <c r="CL43" s="420"/>
      <c r="CM43" s="420"/>
      <c r="CN43" s="420"/>
      <c r="CO43" s="420"/>
      <c r="CP43" s="531" t="s">
        <v>101</v>
      </c>
      <c r="CQ43" s="503" t="s">
        <v>337</v>
      </c>
      <c r="CR43" s="535"/>
      <c r="CS43" s="420"/>
      <c r="CU43" s="503" t="s">
        <v>100</v>
      </c>
      <c r="CV43" s="503" t="s">
        <v>100</v>
      </c>
    </row>
    <row r="44" spans="2:105" ht="15" customHeight="1" x14ac:dyDescent="0.25">
      <c r="B44" s="696"/>
      <c r="C44" s="735" t="s">
        <v>317</v>
      </c>
      <c r="D44" s="729"/>
      <c r="E44" s="820"/>
      <c r="F44" s="731">
        <f>E124</f>
        <v>0</v>
      </c>
      <c r="G44" s="731">
        <f>G124</f>
        <v>0</v>
      </c>
      <c r="H44" s="731"/>
      <c r="I44" s="731">
        <f>I124</f>
        <v>0</v>
      </c>
      <c r="J44" s="731"/>
      <c r="K44" s="731">
        <f>K124</f>
        <v>0</v>
      </c>
      <c r="L44" s="731"/>
      <c r="M44" s="731">
        <f>M124</f>
        <v>0</v>
      </c>
      <c r="N44" s="731"/>
      <c r="O44" s="731">
        <f>O124</f>
        <v>0</v>
      </c>
      <c r="P44" s="731"/>
      <c r="Q44" s="732">
        <f>Q124</f>
        <v>0</v>
      </c>
      <c r="R44" s="699"/>
      <c r="T44" s="262">
        <v>34</v>
      </c>
      <c r="U44" s="263" t="s">
        <v>336</v>
      </c>
      <c r="V44" s="484">
        <v>19953.8</v>
      </c>
      <c r="W44" s="484">
        <v>235577759.36700001</v>
      </c>
      <c r="X44" s="484">
        <v>39228694.002999999</v>
      </c>
      <c r="Y44" s="484">
        <v>9361.9410000000007</v>
      </c>
      <c r="Z44" s="484">
        <v>3118.0659999999998</v>
      </c>
      <c r="AA44" s="484">
        <v>15101320.561000001</v>
      </c>
      <c r="AB44" s="484">
        <v>0.47699999999999998</v>
      </c>
      <c r="AC44" s="484">
        <v>0.159</v>
      </c>
      <c r="AD44" s="484">
        <v>769.91200000000003</v>
      </c>
      <c r="AE44" s="484">
        <v>7.9000000000000001E-2</v>
      </c>
      <c r="AF44" s="484">
        <v>8.5000000000000006E-2</v>
      </c>
      <c r="AG44" s="484">
        <v>2.5999999999999999E-2</v>
      </c>
      <c r="AH44" s="484">
        <v>128.20699999999999</v>
      </c>
      <c r="AI44" s="484">
        <v>0.58599999999999997</v>
      </c>
      <c r="AJ44" s="484">
        <v>0.17399999999999999</v>
      </c>
      <c r="AK44" s="484">
        <v>962.47299999999996</v>
      </c>
      <c r="AL44" s="484">
        <v>7.8E-2</v>
      </c>
      <c r="AM44" s="484">
        <v>2.3E-2</v>
      </c>
      <c r="AN44" s="484">
        <v>128.054</v>
      </c>
      <c r="AO44" s="484">
        <v>2166830.7400000002</v>
      </c>
      <c r="AP44" s="484">
        <v>10985.184999999999</v>
      </c>
      <c r="AQ44" s="484">
        <v>28921611.616999999</v>
      </c>
      <c r="AR44" s="484">
        <v>742.45600000000002</v>
      </c>
      <c r="AS44" s="484">
        <v>5.5235862302998697</v>
      </c>
      <c r="AT44" s="484">
        <v>2.80029332624738E-2</v>
      </c>
      <c r="AU44" s="484">
        <v>73.725655048507406</v>
      </c>
      <c r="AV44" s="484">
        <v>1.89263501873871E-3</v>
      </c>
      <c r="AW44" s="484">
        <v>79.473616938635502</v>
      </c>
      <c r="AX44" s="264">
        <v>6005.2409429940308</v>
      </c>
      <c r="AY44" s="265">
        <v>7556.2698353043552</v>
      </c>
      <c r="AZ44" s="420"/>
      <c r="BA44" s="552"/>
      <c r="BB44" s="552"/>
      <c r="BC44" s="552"/>
      <c r="BD44" s="552"/>
      <c r="BE44" s="552"/>
      <c r="BF44" s="552"/>
      <c r="BG44" s="420"/>
      <c r="BH44" s="552"/>
      <c r="BI44" s="552"/>
      <c r="BJ44" s="552"/>
      <c r="BK44" s="552"/>
      <c r="BL44" s="552"/>
      <c r="BM44" s="552"/>
      <c r="BN44" s="552"/>
      <c r="BO44" s="552"/>
      <c r="BP44" s="420"/>
      <c r="BQ44" s="420"/>
      <c r="BR44" s="420"/>
      <c r="BS44" s="420"/>
      <c r="BT44" s="420"/>
      <c r="BU44" s="420"/>
      <c r="BV44" s="420"/>
      <c r="BW44" s="477" t="str">
        <f t="shared" si="7"/>
        <v>NY</v>
      </c>
      <c r="BX44" s="501">
        <f t="shared" si="8"/>
        <v>464.02</v>
      </c>
      <c r="BY44" s="501">
        <f t="shared" si="9"/>
        <v>0.13700000000000001</v>
      </c>
      <c r="BZ44" s="501">
        <f t="shared" si="10"/>
        <v>0.34100000000000003</v>
      </c>
      <c r="CA44" s="502">
        <f t="shared" si="11"/>
        <v>3940.4088309712238</v>
      </c>
      <c r="CB44" s="534"/>
      <c r="CC44" s="420"/>
      <c r="CD44" s="420"/>
      <c r="CE44" s="420"/>
      <c r="CF44" s="420"/>
      <c r="CG44" s="420"/>
      <c r="CH44" s="420"/>
      <c r="CI44" s="420"/>
      <c r="CJ44" s="420"/>
      <c r="CK44" s="420"/>
      <c r="CL44" s="420"/>
      <c r="CM44" s="420"/>
      <c r="CN44" s="420"/>
      <c r="CO44" s="420"/>
      <c r="CP44" s="477" t="s">
        <v>102</v>
      </c>
      <c r="CQ44" s="482" t="s">
        <v>338</v>
      </c>
      <c r="CR44" s="535"/>
      <c r="CS44" s="420"/>
      <c r="CU44" s="503" t="s">
        <v>101</v>
      </c>
      <c r="CV44" s="503" t="s">
        <v>101</v>
      </c>
    </row>
    <row r="45" spans="2:105" ht="15" customHeight="1" x14ac:dyDescent="0.25">
      <c r="B45" s="696"/>
      <c r="C45" s="735" t="s">
        <v>320</v>
      </c>
      <c r="D45" s="729"/>
      <c r="E45" s="820"/>
      <c r="F45" s="731">
        <f>E128</f>
        <v>0</v>
      </c>
      <c r="G45" s="731">
        <f>G128</f>
        <v>0</v>
      </c>
      <c r="H45" s="731"/>
      <c r="I45" s="731">
        <f>I128</f>
        <v>0</v>
      </c>
      <c r="J45" s="731"/>
      <c r="K45" s="731">
        <f>K128</f>
        <v>0</v>
      </c>
      <c r="L45" s="731"/>
      <c r="M45" s="731">
        <f>M128</f>
        <v>0</v>
      </c>
      <c r="N45" s="731"/>
      <c r="O45" s="731">
        <f>O128</f>
        <v>0</v>
      </c>
      <c r="P45" s="731"/>
      <c r="Q45" s="732">
        <f>Q128</f>
        <v>0</v>
      </c>
      <c r="R45" s="699"/>
      <c r="T45" s="258">
        <v>35</v>
      </c>
      <c r="U45" s="259" t="s">
        <v>337</v>
      </c>
      <c r="V45" s="484">
        <v>51335.7</v>
      </c>
      <c r="W45" s="484">
        <v>528372701.083</v>
      </c>
      <c r="X45" s="484">
        <v>134090832.639</v>
      </c>
      <c r="Y45" s="484">
        <v>22846.975999999999</v>
      </c>
      <c r="Z45" s="484">
        <v>9164.0120000000006</v>
      </c>
      <c r="AA45" s="484">
        <v>31110393.202</v>
      </c>
      <c r="AB45" s="484">
        <v>0.34100000000000003</v>
      </c>
      <c r="AC45" s="484">
        <v>0.13700000000000001</v>
      </c>
      <c r="AD45" s="484">
        <v>464.02</v>
      </c>
      <c r="AE45" s="484">
        <v>8.5999999999999993E-2</v>
      </c>
      <c r="AF45" s="484">
        <v>8.4000000000000005E-2</v>
      </c>
      <c r="AG45" s="484">
        <v>3.5000000000000003E-2</v>
      </c>
      <c r="AH45" s="484">
        <v>117.759</v>
      </c>
      <c r="AI45" s="484">
        <v>0.44600000000000001</v>
      </c>
      <c r="AJ45" s="484">
        <v>0.29499999999999998</v>
      </c>
      <c r="AK45" s="484">
        <v>1000.197</v>
      </c>
      <c r="AL45" s="484">
        <v>5.5E-2</v>
      </c>
      <c r="AM45" s="484">
        <v>3.5999999999999997E-2</v>
      </c>
      <c r="AN45" s="484">
        <v>122.52</v>
      </c>
      <c r="AO45" s="484">
        <v>1770237.86</v>
      </c>
      <c r="AP45" s="484">
        <v>639490.03300000005</v>
      </c>
      <c r="AQ45" s="484">
        <v>56470523.809</v>
      </c>
      <c r="AR45" s="484">
        <v>0</v>
      </c>
      <c r="AS45" s="484">
        <v>1.32017813965061</v>
      </c>
      <c r="AT45" s="484">
        <v>0.47690809306894499</v>
      </c>
      <c r="AU45" s="484">
        <v>42.113634981946099</v>
      </c>
      <c r="AV45" s="484">
        <v>0</v>
      </c>
      <c r="AW45" s="484">
        <v>46.254280346751798</v>
      </c>
      <c r="AX45" s="260">
        <v>3940.4088309712238</v>
      </c>
      <c r="AY45" s="261">
        <v>8519.0144586226943</v>
      </c>
      <c r="BW45" s="531" t="str">
        <f t="shared" si="7"/>
        <v>OH</v>
      </c>
      <c r="BX45" s="532">
        <f t="shared" si="8"/>
        <v>1465.96</v>
      </c>
      <c r="BY45" s="532">
        <f t="shared" si="9"/>
        <v>1.786</v>
      </c>
      <c r="BZ45" s="532">
        <f t="shared" si="10"/>
        <v>1.0069999999999999</v>
      </c>
      <c r="CA45" s="533">
        <f t="shared" si="11"/>
        <v>7991.9906063368799</v>
      </c>
      <c r="CB45" s="476"/>
      <c r="CP45" s="531" t="s">
        <v>103</v>
      </c>
      <c r="CQ45" s="503" t="s">
        <v>339</v>
      </c>
      <c r="CR45" s="413"/>
      <c r="CU45" s="482" t="s">
        <v>102</v>
      </c>
      <c r="CV45" s="482" t="s">
        <v>102</v>
      </c>
    </row>
    <row r="46" spans="2:105" s="420" customFormat="1" ht="15" customHeight="1" x14ac:dyDescent="0.35">
      <c r="B46" s="696"/>
      <c r="C46" s="736" t="s">
        <v>340</v>
      </c>
      <c r="D46" s="737"/>
      <c r="E46" s="821"/>
      <c r="F46" s="739">
        <f>E131</f>
        <v>10775.426212590297</v>
      </c>
      <c r="G46" s="739">
        <f>G131</f>
        <v>21.227339466592319</v>
      </c>
      <c r="H46" s="739"/>
      <c r="I46" s="739">
        <f>I131</f>
        <v>33.557960526315789</v>
      </c>
      <c r="J46" s="739"/>
      <c r="K46" s="739">
        <f>K131</f>
        <v>32.876626815980629</v>
      </c>
      <c r="L46" s="739"/>
      <c r="M46" s="739">
        <f>M131</f>
        <v>19.535294117647062</v>
      </c>
      <c r="N46" s="739"/>
      <c r="O46" s="739">
        <f>O131</f>
        <v>0</v>
      </c>
      <c r="P46" s="739"/>
      <c r="Q46" s="740">
        <f>Q131</f>
        <v>0</v>
      </c>
      <c r="R46" s="699"/>
      <c r="T46" s="262">
        <v>36</v>
      </c>
      <c r="U46" s="263" t="s">
        <v>338</v>
      </c>
      <c r="V46" s="484">
        <v>46930.8</v>
      </c>
      <c r="W46" s="484">
        <v>950424128.32799995</v>
      </c>
      <c r="X46" s="484">
        <v>118922077.758</v>
      </c>
      <c r="Y46" s="484">
        <v>59879.582000000002</v>
      </c>
      <c r="Z46" s="484">
        <v>106170.308</v>
      </c>
      <c r="AA46" s="484">
        <v>87167527.923999995</v>
      </c>
      <c r="AB46" s="484">
        <v>1.0069999999999999</v>
      </c>
      <c r="AC46" s="484">
        <v>1.786</v>
      </c>
      <c r="AD46" s="484">
        <v>1465.96</v>
      </c>
      <c r="AE46" s="484">
        <v>0.126</v>
      </c>
      <c r="AF46" s="484">
        <v>0.122</v>
      </c>
      <c r="AG46" s="484">
        <v>0.223</v>
      </c>
      <c r="AH46" s="484">
        <v>183.429</v>
      </c>
      <c r="AI46" s="484">
        <v>1.1160000000000001</v>
      </c>
      <c r="AJ46" s="484">
        <v>2.1309999999999998</v>
      </c>
      <c r="AK46" s="484">
        <v>1753.902</v>
      </c>
      <c r="AL46" s="484">
        <v>0.11799999999999999</v>
      </c>
      <c r="AM46" s="484">
        <v>0.22500000000000001</v>
      </c>
      <c r="AN46" s="484">
        <v>184.87299999999999</v>
      </c>
      <c r="AO46" s="484">
        <v>68775163.650999993</v>
      </c>
      <c r="AP46" s="484">
        <v>1181963.453</v>
      </c>
      <c r="AQ46" s="484">
        <v>28941686.826000001</v>
      </c>
      <c r="AR46" s="484">
        <v>732619.70900000003</v>
      </c>
      <c r="AS46" s="484">
        <v>57.8029332194481</v>
      </c>
      <c r="AT46" s="484">
        <v>0.99339573931488401</v>
      </c>
      <c r="AU46" s="484">
        <v>24.324397094140998</v>
      </c>
      <c r="AV46" s="484">
        <v>0.615739256244761</v>
      </c>
      <c r="AW46" s="484">
        <v>84.292887470103395</v>
      </c>
      <c r="AX46" s="264">
        <v>7991.9906063368799</v>
      </c>
      <c r="AY46" s="265">
        <v>9476.430178002689</v>
      </c>
      <c r="BA46" s="552"/>
      <c r="BB46" s="552"/>
      <c r="BC46" s="552"/>
      <c r="BD46" s="552"/>
      <c r="BE46" s="552"/>
      <c r="BF46" s="552"/>
      <c r="BH46" s="552"/>
      <c r="BI46" s="552"/>
      <c r="BJ46" s="552"/>
      <c r="BK46" s="552"/>
      <c r="BL46" s="552"/>
      <c r="BM46" s="552"/>
      <c r="BN46" s="552"/>
      <c r="BO46" s="552"/>
      <c r="BW46" s="477" t="str">
        <f t="shared" si="7"/>
        <v>OK</v>
      </c>
      <c r="BX46" s="501">
        <f t="shared" si="8"/>
        <v>1043.7159999999999</v>
      </c>
      <c r="BY46" s="501">
        <f t="shared" si="9"/>
        <v>1.276</v>
      </c>
      <c r="BZ46" s="501">
        <f t="shared" si="10"/>
        <v>0.69099999999999995</v>
      </c>
      <c r="CA46" s="502">
        <f t="shared" si="11"/>
        <v>6657.6883185496199</v>
      </c>
      <c r="CB46" s="534"/>
      <c r="CP46" s="477" t="s">
        <v>104</v>
      </c>
      <c r="CQ46" s="482" t="s">
        <v>341</v>
      </c>
      <c r="CR46" s="535"/>
      <c r="CU46" s="503" t="s">
        <v>103</v>
      </c>
      <c r="CV46" s="503" t="s">
        <v>103</v>
      </c>
      <c r="CW46" s="535"/>
      <c r="CX46" s="535"/>
      <c r="CY46" s="535"/>
      <c r="CZ46" s="535"/>
      <c r="DA46" s="535"/>
    </row>
    <row r="47" spans="2:105" ht="15" customHeight="1" x14ac:dyDescent="0.35">
      <c r="B47" s="696"/>
      <c r="C47" s="741" t="s">
        <v>342</v>
      </c>
      <c r="D47" s="742"/>
      <c r="E47" s="819" t="s">
        <v>325</v>
      </c>
      <c r="F47" s="746"/>
      <c r="G47" s="746"/>
      <c r="H47" s="746"/>
      <c r="I47" s="746"/>
      <c r="J47" s="746"/>
      <c r="K47" s="746"/>
      <c r="L47" s="746"/>
      <c r="M47" s="746"/>
      <c r="N47" s="746"/>
      <c r="O47" s="746"/>
      <c r="P47" s="746"/>
      <c r="Q47" s="747"/>
      <c r="R47" s="699"/>
      <c r="T47" s="258">
        <v>37</v>
      </c>
      <c r="U47" s="259" t="s">
        <v>339</v>
      </c>
      <c r="V47" s="484">
        <v>33525.199999999997</v>
      </c>
      <c r="W47" s="484">
        <v>523660527.977</v>
      </c>
      <c r="X47" s="484">
        <v>78655008.003000006</v>
      </c>
      <c r="Y47" s="484">
        <v>27175.231</v>
      </c>
      <c r="Z47" s="484">
        <v>50195.656000000003</v>
      </c>
      <c r="AA47" s="484">
        <v>41046732.230999999</v>
      </c>
      <c r="AB47" s="484">
        <v>0.69099999999999995</v>
      </c>
      <c r="AC47" s="484">
        <v>1.276</v>
      </c>
      <c r="AD47" s="484">
        <v>1043.7159999999999</v>
      </c>
      <c r="AE47" s="484">
        <v>0.104</v>
      </c>
      <c r="AF47" s="484">
        <v>0.106</v>
      </c>
      <c r="AG47" s="484">
        <v>0.192</v>
      </c>
      <c r="AH47" s="484">
        <v>156.768</v>
      </c>
      <c r="AI47" s="484">
        <v>0.96899999999999997</v>
      </c>
      <c r="AJ47" s="484">
        <v>1.7889999999999999</v>
      </c>
      <c r="AK47" s="484">
        <v>1474.508</v>
      </c>
      <c r="AL47" s="484">
        <v>0.10299999999999999</v>
      </c>
      <c r="AM47" s="484">
        <v>0.191</v>
      </c>
      <c r="AN47" s="484">
        <v>157.48400000000001</v>
      </c>
      <c r="AO47" s="484">
        <v>19158044.291999999</v>
      </c>
      <c r="AP47" s="484">
        <v>17261.291000000001</v>
      </c>
      <c r="AQ47" s="484">
        <v>36529085.696000002</v>
      </c>
      <c r="AR47" s="484">
        <v>22274.727999999999</v>
      </c>
      <c r="AS47" s="484">
        <v>24.357056177721599</v>
      </c>
      <c r="AT47" s="484">
        <v>2.1945571697136401E-2</v>
      </c>
      <c r="AU47" s="484">
        <v>46.442161781086298</v>
      </c>
      <c r="AV47" s="484">
        <v>2.83195295391412E-2</v>
      </c>
      <c r="AW47" s="484">
        <v>71.317121628853897</v>
      </c>
      <c r="AX47" s="260">
        <v>6657.6883185496199</v>
      </c>
      <c r="AY47" s="261">
        <v>9335.3296289411355</v>
      </c>
      <c r="BW47" s="477" t="str">
        <f t="shared" si="7"/>
        <v>OR</v>
      </c>
      <c r="BX47" s="501">
        <f t="shared" si="8"/>
        <v>305.89100000000002</v>
      </c>
      <c r="BY47" s="501">
        <f t="shared" si="9"/>
        <v>0.13900000000000001</v>
      </c>
      <c r="BZ47" s="501">
        <f t="shared" si="10"/>
        <v>0.35199999999999998</v>
      </c>
      <c r="CA47" s="502">
        <f t="shared" si="11"/>
        <v>2545.2692470256106</v>
      </c>
      <c r="CB47" s="476"/>
      <c r="CP47" s="477" t="s">
        <v>105</v>
      </c>
      <c r="CQ47" s="482" t="s">
        <v>343</v>
      </c>
      <c r="CR47" s="413"/>
      <c r="CU47" s="482" t="s">
        <v>104</v>
      </c>
      <c r="CV47" s="482" t="s">
        <v>104</v>
      </c>
    </row>
    <row r="48" spans="2:105" ht="15" customHeight="1" x14ac:dyDescent="0.25">
      <c r="B48" s="696"/>
      <c r="C48" s="735" t="s">
        <v>327</v>
      </c>
      <c r="D48" s="729"/>
      <c r="E48" s="820"/>
      <c r="F48" s="731">
        <f>E117</f>
        <v>12488.202270381829</v>
      </c>
      <c r="G48" s="731">
        <f>G117</f>
        <v>0</v>
      </c>
      <c r="H48" s="731"/>
      <c r="I48" s="731">
        <f>I117</f>
        <v>0</v>
      </c>
      <c r="J48" s="731"/>
      <c r="K48" s="731">
        <f>K117</f>
        <v>0</v>
      </c>
      <c r="L48" s="731"/>
      <c r="M48" s="731">
        <f>M117</f>
        <v>0</v>
      </c>
      <c r="N48" s="731"/>
      <c r="O48" s="731">
        <f>O117</f>
        <v>0</v>
      </c>
      <c r="P48" s="731"/>
      <c r="Q48" s="732">
        <f>Q117</f>
        <v>0</v>
      </c>
      <c r="R48" s="699"/>
      <c r="T48" s="258">
        <v>38</v>
      </c>
      <c r="U48" s="259" t="s">
        <v>341</v>
      </c>
      <c r="V48" s="484">
        <v>19278.2</v>
      </c>
      <c r="W48" s="484">
        <v>153178914.87099999</v>
      </c>
      <c r="X48" s="484">
        <v>60181811.825999998</v>
      </c>
      <c r="Y48" s="484">
        <v>10598.563</v>
      </c>
      <c r="Z48" s="484">
        <v>4192.085</v>
      </c>
      <c r="AA48" s="484">
        <v>9204524.0360000003</v>
      </c>
      <c r="AB48" s="484">
        <v>0.35199999999999998</v>
      </c>
      <c r="AC48" s="484">
        <v>0.13900000000000001</v>
      </c>
      <c r="AD48" s="484">
        <v>305.89100000000002</v>
      </c>
      <c r="AE48" s="484">
        <v>0.13800000000000001</v>
      </c>
      <c r="AF48" s="484">
        <v>0.14899999999999999</v>
      </c>
      <c r="AG48" s="484">
        <v>5.5E-2</v>
      </c>
      <c r="AH48" s="484">
        <v>120.18</v>
      </c>
      <c r="AI48" s="484">
        <v>0.85</v>
      </c>
      <c r="AJ48" s="484">
        <v>0.437</v>
      </c>
      <c r="AK48" s="484">
        <v>1062.0029999999999</v>
      </c>
      <c r="AL48" s="484">
        <v>0.10299999999999999</v>
      </c>
      <c r="AM48" s="484">
        <v>5.2999999999999999E-2</v>
      </c>
      <c r="AN48" s="484">
        <v>128.81899999999999</v>
      </c>
      <c r="AO48" s="484">
        <v>1898202.1</v>
      </c>
      <c r="AP48" s="484">
        <v>4849.88</v>
      </c>
      <c r="AQ48" s="484">
        <v>15306661.153999999</v>
      </c>
      <c r="AR48" s="484">
        <v>0</v>
      </c>
      <c r="AS48" s="484">
        <v>3.1540878795756302</v>
      </c>
      <c r="AT48" s="484">
        <v>8.0586507229110493E-3</v>
      </c>
      <c r="AU48" s="484">
        <v>25.4338325843189</v>
      </c>
      <c r="AV48" s="484">
        <v>0</v>
      </c>
      <c r="AW48" s="484">
        <v>30.3256703770363</v>
      </c>
      <c r="AX48" s="260">
        <v>2545.2692470256106</v>
      </c>
      <c r="AY48" s="261">
        <v>8393.0520901989967</v>
      </c>
      <c r="BW48" s="477" t="str">
        <f t="shared" si="7"/>
        <v>PA</v>
      </c>
      <c r="BX48" s="501">
        <f t="shared" si="8"/>
        <v>855.44399999999996</v>
      </c>
      <c r="BY48" s="501">
        <f t="shared" si="9"/>
        <v>0.95899999999999996</v>
      </c>
      <c r="BZ48" s="501">
        <f t="shared" si="10"/>
        <v>0.82099999999999995</v>
      </c>
      <c r="CA48" s="502">
        <f t="shared" si="11"/>
        <v>5279.9353978555855</v>
      </c>
      <c r="CB48" s="476"/>
      <c r="CP48" s="477" t="s">
        <v>106</v>
      </c>
      <c r="CQ48" s="482" t="s">
        <v>344</v>
      </c>
      <c r="CR48" s="413"/>
      <c r="CU48" s="482" t="s">
        <v>105</v>
      </c>
      <c r="CV48" s="482" t="s">
        <v>105</v>
      </c>
    </row>
    <row r="49" spans="2:105" ht="15" customHeight="1" x14ac:dyDescent="0.25">
      <c r="B49" s="696"/>
      <c r="C49" s="735" t="s">
        <v>315</v>
      </c>
      <c r="D49" s="729"/>
      <c r="E49" s="820"/>
      <c r="F49" s="731">
        <f>E121</f>
        <v>0</v>
      </c>
      <c r="G49" s="731">
        <f>G121</f>
        <v>4453.8102991942778</v>
      </c>
      <c r="H49" s="731"/>
      <c r="I49" s="731">
        <f>I121</f>
        <v>7040.9572733918139</v>
      </c>
      <c r="J49" s="731"/>
      <c r="K49" s="731">
        <f>K121</f>
        <v>6898.003367130751</v>
      </c>
      <c r="L49" s="731"/>
      <c r="M49" s="731">
        <f>M121</f>
        <v>4098.7941176470595</v>
      </c>
      <c r="N49" s="731"/>
      <c r="O49" s="731">
        <f>O121</f>
        <v>0</v>
      </c>
      <c r="P49" s="731"/>
      <c r="Q49" s="732">
        <f>Q121</f>
        <v>0</v>
      </c>
      <c r="R49" s="699"/>
      <c r="T49" s="258">
        <v>39</v>
      </c>
      <c r="U49" s="259" t="s">
        <v>343</v>
      </c>
      <c r="V49" s="484">
        <v>68558.5</v>
      </c>
      <c r="W49" s="484">
        <v>1135537271.059</v>
      </c>
      <c r="X49" s="484">
        <v>215066508.48800001</v>
      </c>
      <c r="Y49" s="484">
        <v>88300.604000000007</v>
      </c>
      <c r="Z49" s="484">
        <v>103118.005</v>
      </c>
      <c r="AA49" s="484">
        <v>91988694.244000003</v>
      </c>
      <c r="AB49" s="484">
        <v>0.82099999999999995</v>
      </c>
      <c r="AC49" s="484">
        <v>0.95899999999999996</v>
      </c>
      <c r="AD49" s="484">
        <v>855.44399999999996</v>
      </c>
      <c r="AE49" s="484">
        <v>0.156</v>
      </c>
      <c r="AF49" s="484">
        <v>0.13700000000000001</v>
      </c>
      <c r="AG49" s="484">
        <v>0.182</v>
      </c>
      <c r="AH49" s="484">
        <v>162.018</v>
      </c>
      <c r="AI49" s="484">
        <v>1.2909999999999999</v>
      </c>
      <c r="AJ49" s="484">
        <v>1.613</v>
      </c>
      <c r="AK49" s="484">
        <v>1467.2270000000001</v>
      </c>
      <c r="AL49" s="484">
        <v>0.14699999999999999</v>
      </c>
      <c r="AM49" s="484">
        <v>0.183</v>
      </c>
      <c r="AN49" s="484">
        <v>166.56800000000001</v>
      </c>
      <c r="AO49" s="484">
        <v>54672029.678999998</v>
      </c>
      <c r="AP49" s="484">
        <v>362714.59700000001</v>
      </c>
      <c r="AQ49" s="484">
        <v>68049155.341000006</v>
      </c>
      <c r="AR49" s="484">
        <v>537394.29700000002</v>
      </c>
      <c r="AS49" s="484">
        <v>25.4209872038413</v>
      </c>
      <c r="AT49" s="484">
        <v>0.16865229228036499</v>
      </c>
      <c r="AU49" s="484">
        <v>31.640982003275301</v>
      </c>
      <c r="AV49" s="484">
        <v>0.24987353913260099</v>
      </c>
      <c r="AW49" s="484">
        <v>58.9486313526304</v>
      </c>
      <c r="AX49" s="260">
        <v>5279.9353978555855</v>
      </c>
      <c r="AY49" s="261">
        <v>8956.8413537566485</v>
      </c>
      <c r="BW49" s="477" t="str">
        <f t="shared" si="7"/>
        <v>RI</v>
      </c>
      <c r="BX49" s="501">
        <f t="shared" si="8"/>
        <v>870.822</v>
      </c>
      <c r="BY49" s="501">
        <f t="shared" si="9"/>
        <v>2.3E-2</v>
      </c>
      <c r="BZ49" s="501">
        <f t="shared" si="10"/>
        <v>0.24399999999999999</v>
      </c>
      <c r="CA49" s="502">
        <f t="shared" si="11"/>
        <v>7618.5542691371711</v>
      </c>
      <c r="CB49" s="476"/>
      <c r="CP49" s="477" t="s">
        <v>107</v>
      </c>
      <c r="CQ49" s="482" t="s">
        <v>345</v>
      </c>
      <c r="CR49" s="413"/>
      <c r="CU49" s="482" t="s">
        <v>106</v>
      </c>
      <c r="CV49" s="482" t="s">
        <v>106</v>
      </c>
    </row>
    <row r="50" spans="2:105" ht="15" customHeight="1" x14ac:dyDescent="0.25">
      <c r="B50" s="696"/>
      <c r="C50" s="735" t="s">
        <v>317</v>
      </c>
      <c r="D50" s="729"/>
      <c r="E50" s="820"/>
      <c r="F50" s="731">
        <f>E125</f>
        <v>0</v>
      </c>
      <c r="G50" s="731">
        <f>G125</f>
        <v>0</v>
      </c>
      <c r="H50" s="731"/>
      <c r="I50" s="731">
        <f>I125</f>
        <v>0</v>
      </c>
      <c r="J50" s="731"/>
      <c r="K50" s="731">
        <f>K125</f>
        <v>0</v>
      </c>
      <c r="L50" s="731"/>
      <c r="M50" s="731">
        <f>M125</f>
        <v>0</v>
      </c>
      <c r="N50" s="731"/>
      <c r="O50" s="731">
        <f>O125</f>
        <v>0</v>
      </c>
      <c r="P50" s="731"/>
      <c r="Q50" s="732">
        <f>Q125</f>
        <v>0</v>
      </c>
      <c r="R50" s="699"/>
      <c r="T50" s="258">
        <v>40</v>
      </c>
      <c r="U50" s="259" t="s">
        <v>344</v>
      </c>
      <c r="V50" s="484">
        <v>2398</v>
      </c>
      <c r="W50" s="484">
        <v>50014933.405000001</v>
      </c>
      <c r="X50" s="484">
        <v>6564885.0999999996</v>
      </c>
      <c r="Y50" s="484">
        <v>801.21500000000003</v>
      </c>
      <c r="Z50" s="484">
        <v>75.385000000000005</v>
      </c>
      <c r="AA50" s="484">
        <v>2858423.7409999999</v>
      </c>
      <c r="AB50" s="484">
        <v>0.24399999999999999</v>
      </c>
      <c r="AC50" s="484">
        <v>2.3E-2</v>
      </c>
      <c r="AD50" s="484">
        <v>870.822</v>
      </c>
      <c r="AE50" s="484">
        <v>3.2000000000000001E-2</v>
      </c>
      <c r="AF50" s="484">
        <v>2.5000000000000001E-2</v>
      </c>
      <c r="AG50" s="484">
        <v>3.0000000000000001E-3</v>
      </c>
      <c r="AH50" s="484">
        <v>114.303</v>
      </c>
      <c r="AI50" s="484">
        <v>0.214</v>
      </c>
      <c r="AJ50" s="484">
        <v>1.2999999999999999E-2</v>
      </c>
      <c r="AK50" s="484">
        <v>905.02499999999998</v>
      </c>
      <c r="AL50" s="484">
        <v>2.8000000000000001E-2</v>
      </c>
      <c r="AM50" s="484">
        <v>2E-3</v>
      </c>
      <c r="AN50" s="484">
        <v>119.116</v>
      </c>
      <c r="AO50" s="484">
        <v>0</v>
      </c>
      <c r="AP50" s="484">
        <v>26282.811000000002</v>
      </c>
      <c r="AQ50" s="484">
        <v>6290503.2029999997</v>
      </c>
      <c r="AR50" s="484">
        <v>0</v>
      </c>
      <c r="AS50" s="484">
        <v>0</v>
      </c>
      <c r="AT50" s="484">
        <v>0.40035446993505502</v>
      </c>
      <c r="AU50" s="484">
        <v>95.820461344938593</v>
      </c>
      <c r="AV50" s="484">
        <v>0</v>
      </c>
      <c r="AW50" s="484">
        <v>99.340079845302895</v>
      </c>
      <c r="AX50" s="260">
        <v>7618.5542691371711</v>
      </c>
      <c r="AY50" s="261">
        <v>7669.1646158872963</v>
      </c>
      <c r="BW50" s="477" t="str">
        <f t="shared" si="7"/>
        <v>SC</v>
      </c>
      <c r="BX50" s="501">
        <f t="shared" si="8"/>
        <v>629.428</v>
      </c>
      <c r="BY50" s="501">
        <f t="shared" si="9"/>
        <v>0.24</v>
      </c>
      <c r="BZ50" s="501">
        <f t="shared" si="10"/>
        <v>0.28199999999999997</v>
      </c>
      <c r="CA50" s="502">
        <f t="shared" si="11"/>
        <v>3838.4857102160686</v>
      </c>
      <c r="CB50" s="476"/>
      <c r="CP50" s="477" t="s">
        <v>108</v>
      </c>
      <c r="CQ50" s="482" t="s">
        <v>346</v>
      </c>
      <c r="CR50" s="413"/>
      <c r="CU50" s="482" t="s">
        <v>107</v>
      </c>
      <c r="CV50" s="482" t="s">
        <v>107</v>
      </c>
    </row>
    <row r="51" spans="2:105" ht="15" customHeight="1" x14ac:dyDescent="0.25">
      <c r="B51" s="696"/>
      <c r="C51" s="735" t="s">
        <v>320</v>
      </c>
      <c r="D51" s="729"/>
      <c r="E51" s="820"/>
      <c r="F51" s="731">
        <f>E129</f>
        <v>0</v>
      </c>
      <c r="G51" s="731">
        <f>G129</f>
        <v>0</v>
      </c>
      <c r="H51" s="731"/>
      <c r="I51" s="731">
        <f>I129</f>
        <v>0</v>
      </c>
      <c r="J51" s="731"/>
      <c r="K51" s="731">
        <f>K129</f>
        <v>0</v>
      </c>
      <c r="L51" s="731"/>
      <c r="M51" s="731">
        <f>M129</f>
        <v>0</v>
      </c>
      <c r="N51" s="731"/>
      <c r="O51" s="731">
        <f>O129</f>
        <v>0</v>
      </c>
      <c r="P51" s="731"/>
      <c r="Q51" s="732">
        <f>Q129</f>
        <v>0</v>
      </c>
      <c r="R51" s="699"/>
      <c r="T51" s="258">
        <v>41</v>
      </c>
      <c r="U51" s="259" t="s">
        <v>345</v>
      </c>
      <c r="V51" s="484">
        <v>31484.7</v>
      </c>
      <c r="W51" s="484">
        <v>372278468.671</v>
      </c>
      <c r="X51" s="484">
        <v>96985763.859999999</v>
      </c>
      <c r="Y51" s="484">
        <v>13683.385</v>
      </c>
      <c r="Z51" s="484">
        <v>11636.434999999999</v>
      </c>
      <c r="AA51" s="484">
        <v>30522786.489999998</v>
      </c>
      <c r="AB51" s="484">
        <v>0.28199999999999997</v>
      </c>
      <c r="AC51" s="484">
        <v>0.24</v>
      </c>
      <c r="AD51" s="484">
        <v>629.428</v>
      </c>
      <c r="AE51" s="484">
        <v>7.3999999999999996E-2</v>
      </c>
      <c r="AF51" s="484">
        <v>7.2999999999999995E-2</v>
      </c>
      <c r="AG51" s="484">
        <v>6.3E-2</v>
      </c>
      <c r="AH51" s="484">
        <v>163.97800000000001</v>
      </c>
      <c r="AI51" s="484">
        <v>0.61799999999999999</v>
      </c>
      <c r="AJ51" s="484">
        <v>0.52</v>
      </c>
      <c r="AK51" s="484">
        <v>1589.85</v>
      </c>
      <c r="AL51" s="484">
        <v>6.6000000000000003E-2</v>
      </c>
      <c r="AM51" s="484">
        <v>5.6000000000000001E-2</v>
      </c>
      <c r="AN51" s="484">
        <v>170.54599999999999</v>
      </c>
      <c r="AO51" s="484">
        <v>21002913.373</v>
      </c>
      <c r="AP51" s="484">
        <v>113861.86900000001</v>
      </c>
      <c r="AQ51" s="484">
        <v>16366854.272</v>
      </c>
      <c r="AR51" s="484">
        <v>45419.605000000003</v>
      </c>
      <c r="AS51" s="484">
        <v>21.655666376040099</v>
      </c>
      <c r="AT51" s="484">
        <v>0.117400600775043</v>
      </c>
      <c r="AU51" s="484">
        <v>16.875522430870799</v>
      </c>
      <c r="AV51" s="484">
        <v>4.68312083825458E-2</v>
      </c>
      <c r="AW51" s="484">
        <v>41.145629061680701</v>
      </c>
      <c r="AX51" s="260">
        <v>3838.4857102160686</v>
      </c>
      <c r="AY51" s="261">
        <v>9329.0242791631463</v>
      </c>
      <c r="BW51" s="477" t="str">
        <f t="shared" si="7"/>
        <v>SD</v>
      </c>
      <c r="BX51" s="501">
        <f t="shared" si="8"/>
        <v>513.31600000000003</v>
      </c>
      <c r="BY51" s="501">
        <f t="shared" si="9"/>
        <v>0.14199999999999999</v>
      </c>
      <c r="BZ51" s="501">
        <f t="shared" si="10"/>
        <v>0.20699999999999999</v>
      </c>
      <c r="CA51" s="502">
        <f t="shared" si="11"/>
        <v>2790.2421515524343</v>
      </c>
      <c r="CB51" s="476"/>
      <c r="CP51" s="477" t="s">
        <v>109</v>
      </c>
      <c r="CQ51" s="482" t="s">
        <v>347</v>
      </c>
      <c r="CR51" s="413"/>
      <c r="CU51" s="482" t="s">
        <v>108</v>
      </c>
      <c r="CV51" s="482" t="s">
        <v>108</v>
      </c>
    </row>
    <row r="52" spans="2:105" ht="15" customHeight="1" x14ac:dyDescent="0.35">
      <c r="B52" s="696"/>
      <c r="C52" s="748" t="s">
        <v>348</v>
      </c>
      <c r="D52" s="749"/>
      <c r="E52" s="821"/>
      <c r="F52" s="750">
        <f>E132</f>
        <v>12488.202270381829</v>
      </c>
      <c r="G52" s="750">
        <f>G132</f>
        <v>4453.8102991942778</v>
      </c>
      <c r="H52" s="750"/>
      <c r="I52" s="750">
        <f>I132</f>
        <v>7040.9572733918139</v>
      </c>
      <c r="J52" s="750"/>
      <c r="K52" s="750">
        <f>K132</f>
        <v>6898.003367130751</v>
      </c>
      <c r="L52" s="750"/>
      <c r="M52" s="750">
        <f>M132</f>
        <v>4098.7941176470595</v>
      </c>
      <c r="N52" s="750"/>
      <c r="O52" s="750">
        <f>O132</f>
        <v>0</v>
      </c>
      <c r="P52" s="750"/>
      <c r="Q52" s="751">
        <f>Q132</f>
        <v>0</v>
      </c>
      <c r="R52" s="699"/>
      <c r="T52" s="258">
        <v>42</v>
      </c>
      <c r="U52" s="259" t="s">
        <v>346</v>
      </c>
      <c r="V52" s="484">
        <v>5438</v>
      </c>
      <c r="W52" s="484">
        <v>28709961.454</v>
      </c>
      <c r="X52" s="484">
        <v>10289415.719000001</v>
      </c>
      <c r="Y52" s="484">
        <v>1062.6289999999999</v>
      </c>
      <c r="Z52" s="484">
        <v>729.41399999999999</v>
      </c>
      <c r="AA52" s="484">
        <v>2640861.3810000001</v>
      </c>
      <c r="AB52" s="484">
        <v>0.20699999999999999</v>
      </c>
      <c r="AC52" s="484">
        <v>0.14199999999999999</v>
      </c>
      <c r="AD52" s="484">
        <v>513.31600000000003</v>
      </c>
      <c r="AE52" s="484">
        <v>7.3999999999999996E-2</v>
      </c>
      <c r="AF52" s="484">
        <v>7.5999999999999998E-2</v>
      </c>
      <c r="AG52" s="484">
        <v>5.0999999999999997E-2</v>
      </c>
      <c r="AH52" s="484">
        <v>183.96799999999999</v>
      </c>
      <c r="AI52" s="484">
        <v>0.70699999999999996</v>
      </c>
      <c r="AJ52" s="484">
        <v>0.48599999999999999</v>
      </c>
      <c r="AK52" s="484">
        <v>1758.21</v>
      </c>
      <c r="AL52" s="484">
        <v>7.3999999999999996E-2</v>
      </c>
      <c r="AM52" s="484">
        <v>5.0999999999999997E-2</v>
      </c>
      <c r="AN52" s="484">
        <v>183.96799999999999</v>
      </c>
      <c r="AO52" s="484">
        <v>2082680.5</v>
      </c>
      <c r="AP52" s="484">
        <v>2792.8449999999998</v>
      </c>
      <c r="AQ52" s="484">
        <v>918561.38500000001</v>
      </c>
      <c r="AR52" s="484">
        <v>0</v>
      </c>
      <c r="AS52" s="484">
        <v>20.2409986596975</v>
      </c>
      <c r="AT52" s="484">
        <v>2.7142892009476598E-2</v>
      </c>
      <c r="AU52" s="484">
        <v>8.9272453276606001</v>
      </c>
      <c r="AV52" s="484">
        <v>0</v>
      </c>
      <c r="AW52" s="484">
        <v>29.195386879367501</v>
      </c>
      <c r="AX52" s="260">
        <v>2790.2421515524343</v>
      </c>
      <c r="AY52" s="261">
        <v>9557.1336666936859</v>
      </c>
      <c r="BW52" s="477" t="str">
        <f t="shared" si="7"/>
        <v>TN</v>
      </c>
      <c r="BX52" s="501">
        <f t="shared" si="8"/>
        <v>992.27099999999996</v>
      </c>
      <c r="BY52" s="501">
        <f t="shared" si="9"/>
        <v>0.80300000000000005</v>
      </c>
      <c r="BZ52" s="501">
        <f t="shared" si="10"/>
        <v>0.51300000000000001</v>
      </c>
      <c r="CA52" s="502">
        <f t="shared" si="11"/>
        <v>5311.1831411092116</v>
      </c>
      <c r="CB52" s="476"/>
      <c r="CP52" s="477" t="s">
        <v>110</v>
      </c>
      <c r="CQ52" s="482" t="s">
        <v>349</v>
      </c>
      <c r="CR52" s="413"/>
      <c r="CU52" s="482" t="s">
        <v>109</v>
      </c>
      <c r="CV52" s="482" t="s">
        <v>109</v>
      </c>
    </row>
    <row r="53" spans="2:105" ht="15" customHeight="1" x14ac:dyDescent="0.25">
      <c r="B53" s="696"/>
      <c r="C53" s="723" t="s">
        <v>350</v>
      </c>
      <c r="D53" s="724"/>
      <c r="E53" s="744"/>
      <c r="F53" s="743"/>
      <c r="G53" s="744"/>
      <c r="H53" s="744"/>
      <c r="I53" s="744"/>
      <c r="J53" s="744"/>
      <c r="K53" s="744"/>
      <c r="L53" s="744"/>
      <c r="M53" s="744"/>
      <c r="N53" s="744"/>
      <c r="O53" s="744"/>
      <c r="P53" s="744"/>
      <c r="Q53" s="745"/>
      <c r="R53" s="699"/>
      <c r="T53" s="258">
        <v>43</v>
      </c>
      <c r="U53" s="259" t="s">
        <v>347</v>
      </c>
      <c r="V53" s="484">
        <v>27972.7</v>
      </c>
      <c r="W53" s="484">
        <v>421392634.04100001</v>
      </c>
      <c r="X53" s="484">
        <v>79340633.310000002</v>
      </c>
      <c r="Y53" s="484">
        <v>20342.043000000001</v>
      </c>
      <c r="Z53" s="484">
        <v>31860.901000000002</v>
      </c>
      <c r="AA53" s="484">
        <v>39363687.711999997</v>
      </c>
      <c r="AB53" s="484">
        <v>0.51300000000000001</v>
      </c>
      <c r="AC53" s="484">
        <v>0.80300000000000005</v>
      </c>
      <c r="AD53" s="484">
        <v>992.27099999999996</v>
      </c>
      <c r="AE53" s="484">
        <v>9.7000000000000003E-2</v>
      </c>
      <c r="AF53" s="484">
        <v>9.4E-2</v>
      </c>
      <c r="AG53" s="484">
        <v>0.151</v>
      </c>
      <c r="AH53" s="484">
        <v>186.827</v>
      </c>
      <c r="AI53" s="484">
        <v>0.91300000000000003</v>
      </c>
      <c r="AJ53" s="484">
        <v>1.454</v>
      </c>
      <c r="AK53" s="484">
        <v>1831.7829999999999</v>
      </c>
      <c r="AL53" s="484">
        <v>9.4E-2</v>
      </c>
      <c r="AM53" s="484">
        <v>0.15</v>
      </c>
      <c r="AN53" s="484">
        <v>188.67099999999999</v>
      </c>
      <c r="AO53" s="484">
        <v>31167633.515999999</v>
      </c>
      <c r="AP53" s="484">
        <v>121581.46</v>
      </c>
      <c r="AQ53" s="484">
        <v>11318514.75</v>
      </c>
      <c r="AR53" s="484">
        <v>34302.144</v>
      </c>
      <c r="AS53" s="484">
        <v>39.283318319611297</v>
      </c>
      <c r="AT53" s="484">
        <v>0.153239840698565</v>
      </c>
      <c r="AU53" s="484">
        <v>14.2657227280735</v>
      </c>
      <c r="AV53" s="484">
        <v>4.32340184282968E-2</v>
      </c>
      <c r="AW53" s="484">
        <v>54.922763361671599</v>
      </c>
      <c r="AX53" s="260">
        <v>5311.1831411092116</v>
      </c>
      <c r="AY53" s="261">
        <v>9670.2766214037874</v>
      </c>
      <c r="BW53" s="477" t="str">
        <f t="shared" si="7"/>
        <v>TX</v>
      </c>
      <c r="BX53" s="501">
        <f t="shared" si="8"/>
        <v>1049.527</v>
      </c>
      <c r="BY53" s="501">
        <f t="shared" si="9"/>
        <v>1.0900000000000001</v>
      </c>
      <c r="BZ53" s="501">
        <f t="shared" si="10"/>
        <v>0.60499999999999998</v>
      </c>
      <c r="CA53" s="502">
        <f t="shared" si="11"/>
        <v>6576.1453854950632</v>
      </c>
      <c r="CB53" s="476"/>
      <c r="CP53" s="477" t="s">
        <v>111</v>
      </c>
      <c r="CQ53" s="482" t="s">
        <v>351</v>
      </c>
      <c r="CR53" s="413"/>
      <c r="CU53" s="482" t="s">
        <v>110</v>
      </c>
      <c r="CV53" s="482" t="s">
        <v>110</v>
      </c>
    </row>
    <row r="54" spans="2:105" ht="15" customHeight="1" x14ac:dyDescent="0.35">
      <c r="B54" s="696"/>
      <c r="C54" s="735" t="s">
        <v>352</v>
      </c>
      <c r="D54" s="729"/>
      <c r="E54" s="820" t="s">
        <v>325</v>
      </c>
      <c r="F54" s="734" t="s">
        <v>255</v>
      </c>
      <c r="G54" s="752">
        <f>G133</f>
        <v>9265004.2594163157</v>
      </c>
      <c r="H54" s="752"/>
      <c r="I54" s="752">
        <f>I133</f>
        <v>6798880.0474716229</v>
      </c>
      <c r="J54" s="752"/>
      <c r="K54" s="752">
        <f>K133</f>
        <v>6935146.7895386545</v>
      </c>
      <c r="L54" s="752"/>
      <c r="M54" s="752">
        <f>M133</f>
        <v>9603413.3292053677</v>
      </c>
      <c r="N54" s="752"/>
      <c r="O54" s="752">
        <f>O133</f>
        <v>13510472.152734781</v>
      </c>
      <c r="P54" s="752"/>
      <c r="Q54" s="753">
        <f>Q133</f>
        <v>13510472.152734781</v>
      </c>
      <c r="R54" s="699"/>
      <c r="T54" s="258">
        <v>44</v>
      </c>
      <c r="U54" s="259" t="s">
        <v>349</v>
      </c>
      <c r="V54" s="484">
        <v>182433.5</v>
      </c>
      <c r="W54" s="484">
        <v>2985184261.8470001</v>
      </c>
      <c r="X54" s="484">
        <v>453941342.05599999</v>
      </c>
      <c r="Y54" s="484">
        <v>137386.61499999999</v>
      </c>
      <c r="Z54" s="484">
        <v>247401.25700000001</v>
      </c>
      <c r="AA54" s="484">
        <v>238211887.05599999</v>
      </c>
      <c r="AB54" s="484">
        <v>0.60499999999999998</v>
      </c>
      <c r="AC54" s="484">
        <v>1.0900000000000001</v>
      </c>
      <c r="AD54" s="484">
        <v>1049.527</v>
      </c>
      <c r="AE54" s="484">
        <v>9.1999999999999998E-2</v>
      </c>
      <c r="AF54" s="484">
        <v>9.0999999999999998E-2</v>
      </c>
      <c r="AG54" s="484">
        <v>0.16600000000000001</v>
      </c>
      <c r="AH54" s="484">
        <v>159.596</v>
      </c>
      <c r="AI54" s="484">
        <v>0.75700000000000001</v>
      </c>
      <c r="AJ54" s="484">
        <v>1.4059999999999999</v>
      </c>
      <c r="AK54" s="484">
        <v>1360.568</v>
      </c>
      <c r="AL54" s="484">
        <v>8.8999999999999996E-2</v>
      </c>
      <c r="AM54" s="484">
        <v>0.16600000000000001</v>
      </c>
      <c r="AN54" s="484">
        <v>160.44800000000001</v>
      </c>
      <c r="AO54" s="484">
        <v>121230932.59</v>
      </c>
      <c r="AP54" s="484">
        <v>196421.93799999999</v>
      </c>
      <c r="AQ54" s="484">
        <v>225976260.44</v>
      </c>
      <c r="AR54" s="484">
        <v>2516118.1320000002</v>
      </c>
      <c r="AS54" s="484">
        <v>26.706299110657799</v>
      </c>
      <c r="AT54" s="484">
        <v>4.3270334691426597E-2</v>
      </c>
      <c r="AU54" s="484">
        <v>49.780938530174701</v>
      </c>
      <c r="AV54" s="484">
        <v>0.55428265703603397</v>
      </c>
      <c r="AW54" s="484">
        <v>77.599959601645594</v>
      </c>
      <c r="AX54" s="260">
        <v>6576.1453854950632</v>
      </c>
      <c r="AY54" s="261">
        <v>8474.4185687737063</v>
      </c>
      <c r="BW54" s="477" t="str">
        <f t="shared" si="7"/>
        <v>UT</v>
      </c>
      <c r="BX54" s="501">
        <f t="shared" si="8"/>
        <v>1627.3720000000001</v>
      </c>
      <c r="BY54" s="501">
        <f t="shared" si="9"/>
        <v>0.878</v>
      </c>
      <c r="BZ54" s="501">
        <f t="shared" si="10"/>
        <v>1.7769999999999999</v>
      </c>
      <c r="CA54" s="502">
        <f t="shared" si="11"/>
        <v>8686.5933627383001</v>
      </c>
      <c r="CB54" s="476"/>
      <c r="CP54" s="477" t="s">
        <v>112</v>
      </c>
      <c r="CQ54" s="482" t="s">
        <v>353</v>
      </c>
      <c r="CR54" s="413"/>
      <c r="CU54" s="482" t="s">
        <v>111</v>
      </c>
      <c r="CV54" s="482" t="s">
        <v>111</v>
      </c>
    </row>
    <row r="55" spans="2:105" ht="15" customHeight="1" x14ac:dyDescent="0.25">
      <c r="B55" s="696"/>
      <c r="C55" s="735"/>
      <c r="D55" s="729"/>
      <c r="E55" s="820"/>
      <c r="F55" s="734"/>
      <c r="G55" s="754">
        <f>G54/$F40</f>
        <v>0.68576465386821439</v>
      </c>
      <c r="H55" s="754"/>
      <c r="I55" s="754">
        <f>I54/$F40</f>
        <v>0.5032303808934907</v>
      </c>
      <c r="J55" s="734"/>
      <c r="K55" s="754">
        <f>K54/$F40</f>
        <v>0.5133163897706452</v>
      </c>
      <c r="L55" s="734"/>
      <c r="M55" s="754">
        <f>M54/$F40</f>
        <v>0.71081256233235723</v>
      </c>
      <c r="N55" s="734"/>
      <c r="O55" s="754">
        <f>O54/$F40</f>
        <v>1</v>
      </c>
      <c r="P55" s="734"/>
      <c r="Q55" s="755">
        <f>Q54/$F40</f>
        <v>1</v>
      </c>
      <c r="R55" s="699"/>
      <c r="T55" s="258">
        <v>45</v>
      </c>
      <c r="U55" s="259" t="s">
        <v>351</v>
      </c>
      <c r="V55" s="484">
        <v>11043.7</v>
      </c>
      <c r="W55" s="484">
        <v>331253925.88599998</v>
      </c>
      <c r="X55" s="484">
        <v>38133928.002999999</v>
      </c>
      <c r="Y55" s="484">
        <v>33873.879999999997</v>
      </c>
      <c r="Z55" s="484">
        <v>16749.524000000001</v>
      </c>
      <c r="AA55" s="484">
        <v>31029038.987</v>
      </c>
      <c r="AB55" s="484">
        <v>1.7769999999999999</v>
      </c>
      <c r="AC55" s="484">
        <v>0.878</v>
      </c>
      <c r="AD55" s="484">
        <v>1627.3720000000001</v>
      </c>
      <c r="AE55" s="484">
        <v>0.20499999999999999</v>
      </c>
      <c r="AF55" s="484">
        <v>0.19700000000000001</v>
      </c>
      <c r="AG55" s="484">
        <v>0.10100000000000001</v>
      </c>
      <c r="AH55" s="484">
        <v>187.34299999999999</v>
      </c>
      <c r="AI55" s="484">
        <v>1.897</v>
      </c>
      <c r="AJ55" s="484">
        <v>0.95199999999999996</v>
      </c>
      <c r="AK55" s="484">
        <v>1777.4110000000001</v>
      </c>
      <c r="AL55" s="484">
        <v>0.2</v>
      </c>
      <c r="AM55" s="484">
        <v>0.10100000000000001</v>
      </c>
      <c r="AN55" s="484">
        <v>187.77199999999999</v>
      </c>
      <c r="AO55" s="484">
        <v>25939443.129999999</v>
      </c>
      <c r="AP55" s="484">
        <v>31552.02</v>
      </c>
      <c r="AQ55" s="484">
        <v>8691320.1050000004</v>
      </c>
      <c r="AR55" s="484">
        <v>54099.063000000002</v>
      </c>
      <c r="AS55" s="484">
        <v>68.021954394508001</v>
      </c>
      <c r="AT55" s="484">
        <v>8.2740020853123195E-2</v>
      </c>
      <c r="AU55" s="484">
        <v>22.791567916376501</v>
      </c>
      <c r="AV55" s="484">
        <v>0.141865959794474</v>
      </c>
      <c r="AW55" s="484">
        <v>91.816791079182295</v>
      </c>
      <c r="AX55" s="260">
        <v>8686.5933627383001</v>
      </c>
      <c r="AY55" s="261">
        <v>9460.7895305724796</v>
      </c>
      <c r="BW55" s="477" t="str">
        <f t="shared" si="7"/>
        <v>VA</v>
      </c>
      <c r="BX55" s="501">
        <f t="shared" si="8"/>
        <v>813.80200000000002</v>
      </c>
      <c r="BY55" s="501">
        <f t="shared" si="9"/>
        <v>0.255</v>
      </c>
      <c r="BZ55" s="501">
        <f t="shared" si="10"/>
        <v>0.55700000000000005</v>
      </c>
      <c r="CA55" s="502">
        <f t="shared" si="11"/>
        <v>5908.2260496567787</v>
      </c>
      <c r="CB55" s="476"/>
      <c r="CP55" s="477" t="s">
        <v>113</v>
      </c>
      <c r="CQ55" s="482" t="s">
        <v>354</v>
      </c>
      <c r="CR55" s="413"/>
      <c r="CU55" s="482" t="s">
        <v>112</v>
      </c>
      <c r="CV55" s="482" t="s">
        <v>112</v>
      </c>
    </row>
    <row r="56" spans="2:105" ht="15" customHeight="1" x14ac:dyDescent="0.35">
      <c r="B56" s="696"/>
      <c r="C56" s="735" t="s">
        <v>355</v>
      </c>
      <c r="D56" s="729"/>
      <c r="E56" s="820"/>
      <c r="F56" s="734" t="s">
        <v>255</v>
      </c>
      <c r="G56" s="734">
        <f>G134</f>
        <v>10754.198873123705</v>
      </c>
      <c r="H56" s="734"/>
      <c r="I56" s="734">
        <f>I134</f>
        <v>10741.868252063981</v>
      </c>
      <c r="J56" s="734"/>
      <c r="K56" s="734">
        <f>K134</f>
        <v>10742.549585774317</v>
      </c>
      <c r="L56" s="734"/>
      <c r="M56" s="734">
        <f>M134</f>
        <v>10755.890918472649</v>
      </c>
      <c r="N56" s="734"/>
      <c r="O56" s="734">
        <f>O134</f>
        <v>10775.426212590297</v>
      </c>
      <c r="P56" s="734"/>
      <c r="Q56" s="756">
        <f>Q134</f>
        <v>10775.426212590297</v>
      </c>
      <c r="R56" s="699"/>
      <c r="T56" s="258">
        <v>46</v>
      </c>
      <c r="U56" s="259" t="s">
        <v>353</v>
      </c>
      <c r="V56" s="484">
        <v>34581.199999999997</v>
      </c>
      <c r="W56" s="484">
        <v>546834777.57700002</v>
      </c>
      <c r="X56" s="484">
        <v>92554816.451000005</v>
      </c>
      <c r="Y56" s="484">
        <v>25776.560000000001</v>
      </c>
      <c r="Z56" s="484">
        <v>11804.945</v>
      </c>
      <c r="AA56" s="484">
        <v>37660633.017999999</v>
      </c>
      <c r="AB56" s="484">
        <v>0.55700000000000005</v>
      </c>
      <c r="AC56" s="484">
        <v>0.255</v>
      </c>
      <c r="AD56" s="484">
        <v>813.80200000000002</v>
      </c>
      <c r="AE56" s="484">
        <v>9.4E-2</v>
      </c>
      <c r="AF56" s="484">
        <v>8.7999999999999995E-2</v>
      </c>
      <c r="AG56" s="484">
        <v>4.2999999999999997E-2</v>
      </c>
      <c r="AH56" s="484">
        <v>137.74</v>
      </c>
      <c r="AI56" s="484">
        <v>0.63400000000000001</v>
      </c>
      <c r="AJ56" s="484">
        <v>0.35299999999999998</v>
      </c>
      <c r="AK56" s="484">
        <v>1243.0070000000001</v>
      </c>
      <c r="AL56" s="484">
        <v>7.4999999999999997E-2</v>
      </c>
      <c r="AM56" s="484">
        <v>4.2000000000000003E-2</v>
      </c>
      <c r="AN56" s="484">
        <v>146.858</v>
      </c>
      <c r="AO56" s="484">
        <v>16499412.338</v>
      </c>
      <c r="AP56" s="484">
        <v>535360.84299999999</v>
      </c>
      <c r="AQ56" s="484">
        <v>40904843.159000002</v>
      </c>
      <c r="AR56" s="484">
        <v>0</v>
      </c>
      <c r="AS56" s="484">
        <v>17.8266381936999</v>
      </c>
      <c r="AT56" s="484">
        <v>0.57842569515369902</v>
      </c>
      <c r="AU56" s="484">
        <v>44.195261287343698</v>
      </c>
      <c r="AV56" s="484">
        <v>0</v>
      </c>
      <c r="AW56" s="484">
        <v>67.520189645663706</v>
      </c>
      <c r="AX56" s="260">
        <v>5908.2260496567787</v>
      </c>
      <c r="AY56" s="261">
        <v>8750.3101702986205</v>
      </c>
      <c r="BW56" s="477" t="str">
        <f t="shared" si="7"/>
        <v>VT</v>
      </c>
      <c r="BX56" s="501">
        <f t="shared" si="8"/>
        <v>56.89</v>
      </c>
      <c r="BY56" s="501">
        <f t="shared" si="9"/>
        <v>1.2999999999999999E-2</v>
      </c>
      <c r="BZ56" s="501">
        <f t="shared" si="10"/>
        <v>0.35599999999999998</v>
      </c>
      <c r="CA56" s="502">
        <f t="shared" si="11"/>
        <v>2625.755531876338</v>
      </c>
      <c r="CB56" s="476"/>
      <c r="CP56" s="477" t="s">
        <v>114</v>
      </c>
      <c r="CQ56" s="482" t="s">
        <v>356</v>
      </c>
      <c r="CR56" s="413"/>
      <c r="CU56" s="482" t="s">
        <v>113</v>
      </c>
      <c r="CV56" s="482" t="s">
        <v>113</v>
      </c>
    </row>
    <row r="57" spans="2:105" ht="15" customHeight="1" x14ac:dyDescent="0.25">
      <c r="B57" s="696"/>
      <c r="C57" s="735"/>
      <c r="D57" s="729"/>
      <c r="E57" s="820"/>
      <c r="F57" s="734"/>
      <c r="G57" s="754">
        <f>G56/$F46</f>
        <v>0.99803002321692025</v>
      </c>
      <c r="H57" s="734"/>
      <c r="I57" s="754">
        <f>I56/$F46</f>
        <v>0.99688569529740689</v>
      </c>
      <c r="J57" s="734"/>
      <c r="K57" s="754">
        <f>K56/$F46</f>
        <v>0.99694892562323278</v>
      </c>
      <c r="L57" s="734"/>
      <c r="M57" s="754">
        <f>M56/$F46</f>
        <v>0.99818705137669428</v>
      </c>
      <c r="N57" s="734"/>
      <c r="O57" s="754">
        <f>O56/$F46</f>
        <v>1</v>
      </c>
      <c r="P57" s="734"/>
      <c r="Q57" s="755">
        <f>Q56/$F46</f>
        <v>1</v>
      </c>
      <c r="R57" s="699"/>
      <c r="T57" s="258">
        <v>47</v>
      </c>
      <c r="U57" s="259" t="s">
        <v>354</v>
      </c>
      <c r="V57" s="484">
        <v>796.3</v>
      </c>
      <c r="W57" s="484">
        <v>5018362.5760000004</v>
      </c>
      <c r="X57" s="484">
        <v>1911207.085</v>
      </c>
      <c r="Y57" s="484">
        <v>340.02300000000002</v>
      </c>
      <c r="Z57" s="484">
        <v>12.435</v>
      </c>
      <c r="AA57" s="484">
        <v>54363.959000000003</v>
      </c>
      <c r="AB57" s="484">
        <v>0.35599999999999998</v>
      </c>
      <c r="AC57" s="484">
        <v>1.2999999999999999E-2</v>
      </c>
      <c r="AD57" s="484">
        <v>56.89</v>
      </c>
      <c r="AE57" s="484">
        <v>0.13600000000000001</v>
      </c>
      <c r="AF57" s="484">
        <v>0.13400000000000001</v>
      </c>
      <c r="AG57" s="484">
        <v>5.0000000000000001E-3</v>
      </c>
      <c r="AH57" s="484">
        <v>21.666</v>
      </c>
      <c r="AI57" s="484">
        <v>8.4949999999999992</v>
      </c>
      <c r="AJ57" s="484">
        <v>4.1219999999999999</v>
      </c>
      <c r="AK57" s="484">
        <v>3251.2</v>
      </c>
      <c r="AL57" s="484">
        <v>0.42499999999999999</v>
      </c>
      <c r="AM57" s="484">
        <v>0.20599999999999999</v>
      </c>
      <c r="AN57" s="484">
        <v>162.655</v>
      </c>
      <c r="AO57" s="484">
        <v>0</v>
      </c>
      <c r="AP57" s="484">
        <v>4016.739</v>
      </c>
      <c r="AQ57" s="484">
        <v>1965.432</v>
      </c>
      <c r="AR57" s="484">
        <v>0</v>
      </c>
      <c r="AS57" s="484">
        <v>0</v>
      </c>
      <c r="AT57" s="484">
        <v>0.21016764811150301</v>
      </c>
      <c r="AU57" s="484">
        <v>0.102837207237784</v>
      </c>
      <c r="AV57" s="484">
        <v>0</v>
      </c>
      <c r="AW57" s="484">
        <v>25.296949530891599</v>
      </c>
      <c r="AX57" s="260">
        <v>2625.755531876338</v>
      </c>
      <c r="AY57" s="261">
        <v>10379.731818277229</v>
      </c>
      <c r="BW57" s="477" t="str">
        <f t="shared" si="7"/>
        <v>WA</v>
      </c>
      <c r="BX57" s="501">
        <f t="shared" si="8"/>
        <v>186.84399999999999</v>
      </c>
      <c r="BY57" s="501">
        <f t="shared" si="9"/>
        <v>0.05</v>
      </c>
      <c r="BZ57" s="501">
        <f t="shared" si="10"/>
        <v>0.14899999999999999</v>
      </c>
      <c r="CA57" s="502">
        <f t="shared" si="11"/>
        <v>1355.0482333922241</v>
      </c>
      <c r="CB57" s="476"/>
      <c r="CP57" s="477" t="s">
        <v>115</v>
      </c>
      <c r="CQ57" s="482" t="s">
        <v>357</v>
      </c>
      <c r="CR57" s="413"/>
      <c r="CU57" s="482" t="s">
        <v>114</v>
      </c>
      <c r="CV57" s="482" t="s">
        <v>114</v>
      </c>
    </row>
    <row r="58" spans="2:105" ht="15" customHeight="1" x14ac:dyDescent="0.35">
      <c r="B58" s="696"/>
      <c r="C58" s="735" t="s">
        <v>358</v>
      </c>
      <c r="D58" s="729"/>
      <c r="E58" s="820"/>
      <c r="F58" s="734" t="s">
        <v>255</v>
      </c>
      <c r="G58" s="734">
        <f>G135</f>
        <v>8034.3919711875515</v>
      </c>
      <c r="H58" s="734"/>
      <c r="I58" s="734">
        <f>I135</f>
        <v>5447.2449969900154</v>
      </c>
      <c r="J58" s="734"/>
      <c r="K58" s="734">
        <f>K135</f>
        <v>5590.1989032510783</v>
      </c>
      <c r="L58" s="734"/>
      <c r="M58" s="734">
        <f>M135</f>
        <v>8389.4081527347698</v>
      </c>
      <c r="N58" s="734"/>
      <c r="O58" s="734">
        <f>O135</f>
        <v>12488.202270381829</v>
      </c>
      <c r="P58" s="734"/>
      <c r="Q58" s="756">
        <f>Q135</f>
        <v>12488.202270381829</v>
      </c>
      <c r="R58" s="699"/>
      <c r="T58" s="258">
        <v>48</v>
      </c>
      <c r="U58" s="259" t="s">
        <v>356</v>
      </c>
      <c r="V58" s="484">
        <v>34016.1</v>
      </c>
      <c r="W58" s="484">
        <v>154592822.317</v>
      </c>
      <c r="X58" s="484">
        <v>114086582.682</v>
      </c>
      <c r="Y58" s="484">
        <v>8506.6710000000003</v>
      </c>
      <c r="Z58" s="484">
        <v>2840.8589999999999</v>
      </c>
      <c r="AA58" s="484">
        <v>10658190.064999999</v>
      </c>
      <c r="AB58" s="484">
        <v>0.14899999999999999</v>
      </c>
      <c r="AC58" s="484">
        <v>0.05</v>
      </c>
      <c r="AD58" s="484">
        <v>186.84399999999999</v>
      </c>
      <c r="AE58" s="484">
        <v>0.11</v>
      </c>
      <c r="AF58" s="484">
        <v>0.106</v>
      </c>
      <c r="AG58" s="484">
        <v>3.6999999999999998E-2</v>
      </c>
      <c r="AH58" s="484">
        <v>137.887</v>
      </c>
      <c r="AI58" s="484">
        <v>0.81499999999999995</v>
      </c>
      <c r="AJ58" s="484">
        <v>0.187</v>
      </c>
      <c r="AK58" s="484">
        <v>1319.577</v>
      </c>
      <c r="AL58" s="484">
        <v>9.5000000000000001E-2</v>
      </c>
      <c r="AM58" s="484">
        <v>2.1999999999999999E-2</v>
      </c>
      <c r="AN58" s="484">
        <v>154.33600000000001</v>
      </c>
      <c r="AO58" s="484">
        <v>4601726.2709999997</v>
      </c>
      <c r="AP58" s="484">
        <v>21965.242999999999</v>
      </c>
      <c r="AQ58" s="484">
        <v>10982248.227</v>
      </c>
      <c r="AR58" s="484">
        <v>401642.3</v>
      </c>
      <c r="AS58" s="484">
        <v>4.0335291074316304</v>
      </c>
      <c r="AT58" s="484">
        <v>1.9253089335332398E-2</v>
      </c>
      <c r="AU58" s="484">
        <v>9.6262174844697306</v>
      </c>
      <c r="AV58" s="484">
        <v>0.35204960321851902</v>
      </c>
      <c r="AW58" s="484">
        <v>15.843101411542699</v>
      </c>
      <c r="AX58" s="260">
        <v>1355.0482333922241</v>
      </c>
      <c r="AY58" s="261">
        <v>8552.9028215054295</v>
      </c>
      <c r="BW58" s="477" t="str">
        <f t="shared" si="7"/>
        <v>WI</v>
      </c>
      <c r="BX58" s="501">
        <f t="shared" si="8"/>
        <v>1388.88</v>
      </c>
      <c r="BY58" s="501">
        <f t="shared" si="9"/>
        <v>0.504</v>
      </c>
      <c r="BZ58" s="501">
        <f t="shared" si="10"/>
        <v>0.67300000000000004</v>
      </c>
      <c r="CA58" s="502">
        <f t="shared" si="11"/>
        <v>7611.2473974046652</v>
      </c>
      <c r="CB58" s="476"/>
      <c r="CP58" s="477" t="s">
        <v>116</v>
      </c>
      <c r="CQ58" s="482" t="s">
        <v>359</v>
      </c>
      <c r="CR58" s="413"/>
      <c r="CU58" s="482" t="s">
        <v>115</v>
      </c>
      <c r="CV58" s="482" t="s">
        <v>115</v>
      </c>
    </row>
    <row r="59" spans="2:105" ht="15" customHeight="1" x14ac:dyDescent="0.25">
      <c r="B59" s="696"/>
      <c r="C59" s="757"/>
      <c r="D59" s="758"/>
      <c r="E59" s="821"/>
      <c r="F59" s="759"/>
      <c r="G59" s="760">
        <f>G58/$F52</f>
        <v>0.64335857133277341</v>
      </c>
      <c r="H59" s="759"/>
      <c r="I59" s="760">
        <f>I58/$F52</f>
        <v>0.43619128510668054</v>
      </c>
      <c r="J59" s="759"/>
      <c r="K59" s="760">
        <f>K58/$F52</f>
        <v>0.44763840160639523</v>
      </c>
      <c r="L59" s="759"/>
      <c r="M59" s="760">
        <f>M58/$F52</f>
        <v>0.67178669684361714</v>
      </c>
      <c r="N59" s="759"/>
      <c r="O59" s="760">
        <f>O58/$F52</f>
        <v>1</v>
      </c>
      <c r="P59" s="759"/>
      <c r="Q59" s="761">
        <f>Q58/$F52</f>
        <v>1</v>
      </c>
      <c r="R59" s="699"/>
      <c r="T59" s="258">
        <v>49</v>
      </c>
      <c r="U59" s="259" t="s">
        <v>357</v>
      </c>
      <c r="V59" s="484">
        <v>23413.599999999999</v>
      </c>
      <c r="W59" s="484">
        <v>494476945.40600002</v>
      </c>
      <c r="X59" s="484">
        <v>64966610.542000003</v>
      </c>
      <c r="Y59" s="484">
        <v>21867.293000000001</v>
      </c>
      <c r="Z59" s="484">
        <v>16381.657999999999</v>
      </c>
      <c r="AA59" s="484">
        <v>45115418.818000004</v>
      </c>
      <c r="AB59" s="484">
        <v>0.67300000000000004</v>
      </c>
      <c r="AC59" s="484">
        <v>0.504</v>
      </c>
      <c r="AD59" s="484">
        <v>1388.88</v>
      </c>
      <c r="AE59" s="484">
        <v>8.7999999999999995E-2</v>
      </c>
      <c r="AF59" s="484">
        <v>8.6999999999999994E-2</v>
      </c>
      <c r="AG59" s="484">
        <v>6.6000000000000003E-2</v>
      </c>
      <c r="AH59" s="484">
        <v>182.477</v>
      </c>
      <c r="AI59" s="484">
        <v>0.68799999999999994</v>
      </c>
      <c r="AJ59" s="484">
        <v>0.627</v>
      </c>
      <c r="AK59" s="484">
        <v>1838.7049999999999</v>
      </c>
      <c r="AL59" s="484">
        <v>7.0000000000000007E-2</v>
      </c>
      <c r="AM59" s="484">
        <v>6.4000000000000001E-2</v>
      </c>
      <c r="AN59" s="484">
        <v>187.73099999999999</v>
      </c>
      <c r="AO59" s="484">
        <v>33362840.596999999</v>
      </c>
      <c r="AP59" s="484">
        <v>147111.25</v>
      </c>
      <c r="AQ59" s="484">
        <v>15472759.274</v>
      </c>
      <c r="AR59" s="484">
        <v>7167.5379999999996</v>
      </c>
      <c r="AS59" s="484">
        <v>51.353826249796597</v>
      </c>
      <c r="AT59" s="484">
        <v>0.22644131724712099</v>
      </c>
      <c r="AU59" s="484">
        <v>23.816478967122901</v>
      </c>
      <c r="AV59" s="484">
        <v>1.1032648734469901E-2</v>
      </c>
      <c r="AW59" s="484">
        <v>77.735357301627005</v>
      </c>
      <c r="AX59" s="260">
        <v>7611.2473974046652</v>
      </c>
      <c r="AY59" s="261">
        <v>9791.2296198584463</v>
      </c>
      <c r="BW59" s="477" t="str">
        <f t="shared" si="7"/>
        <v>WV</v>
      </c>
      <c r="BX59" s="501">
        <f t="shared" si="8"/>
        <v>1975.7570000000001</v>
      </c>
      <c r="BY59" s="501">
        <f t="shared" si="9"/>
        <v>1.181</v>
      </c>
      <c r="BZ59" s="501">
        <f t="shared" si="10"/>
        <v>1.33</v>
      </c>
      <c r="CA59" s="502">
        <f t="shared" si="11"/>
        <v>9643.6201164261256</v>
      </c>
      <c r="CB59" s="476"/>
      <c r="CP59" s="477" t="s">
        <v>117</v>
      </c>
      <c r="CQ59" s="482" t="s">
        <v>360</v>
      </c>
      <c r="CR59" s="413"/>
      <c r="CU59" s="482" t="s">
        <v>116</v>
      </c>
      <c r="CV59" s="482" t="s">
        <v>116</v>
      </c>
    </row>
    <row r="60" spans="2:105" ht="15" customHeight="1" x14ac:dyDescent="0.35">
      <c r="B60" s="696"/>
      <c r="C60" s="762" t="s">
        <v>361</v>
      </c>
      <c r="D60" s="709"/>
      <c r="E60" s="731"/>
      <c r="F60" s="731"/>
      <c r="G60" s="731"/>
      <c r="H60" s="731"/>
      <c r="I60" s="731"/>
      <c r="J60" s="731"/>
      <c r="K60" s="731"/>
      <c r="L60" s="731"/>
      <c r="M60" s="731"/>
      <c r="N60" s="731"/>
      <c r="O60" s="731"/>
      <c r="P60" s="731"/>
      <c r="Q60" s="732"/>
      <c r="R60" s="699"/>
      <c r="T60" s="258">
        <v>50</v>
      </c>
      <c r="U60" s="259" t="s">
        <v>359</v>
      </c>
      <c r="V60" s="484">
        <v>20625.5</v>
      </c>
      <c r="W60" s="484">
        <v>732365129.68200004</v>
      </c>
      <c r="X60" s="484">
        <v>75942967.562000006</v>
      </c>
      <c r="Y60" s="484">
        <v>50512.838000000003</v>
      </c>
      <c r="Z60" s="484">
        <v>44840.322999999997</v>
      </c>
      <c r="AA60" s="484">
        <v>75022430.969999999</v>
      </c>
      <c r="AB60" s="484">
        <v>1.33</v>
      </c>
      <c r="AC60" s="484">
        <v>1.181</v>
      </c>
      <c r="AD60" s="484">
        <v>1975.7570000000001</v>
      </c>
      <c r="AE60" s="484">
        <v>0.13800000000000001</v>
      </c>
      <c r="AF60" s="484">
        <v>0.13100000000000001</v>
      </c>
      <c r="AG60" s="484">
        <v>0.122</v>
      </c>
      <c r="AH60" s="484">
        <v>204.87700000000001</v>
      </c>
      <c r="AI60" s="484">
        <v>1.3859999999999999</v>
      </c>
      <c r="AJ60" s="484">
        <v>1.23</v>
      </c>
      <c r="AK60" s="484">
        <v>2058.6559999999999</v>
      </c>
      <c r="AL60" s="484">
        <v>0.13800000000000001</v>
      </c>
      <c r="AM60" s="484">
        <v>0.122</v>
      </c>
      <c r="AN60" s="484">
        <v>204.87700000000001</v>
      </c>
      <c r="AO60" s="484">
        <v>71512961.290000007</v>
      </c>
      <c r="AP60" s="484">
        <v>122668.761</v>
      </c>
      <c r="AQ60" s="484">
        <v>1224566.665</v>
      </c>
      <c r="AR60" s="484">
        <v>24651.154999999999</v>
      </c>
      <c r="AS60" s="484">
        <v>94.151440951046496</v>
      </c>
      <c r="AT60" s="484">
        <v>0.16150136142445801</v>
      </c>
      <c r="AU60" s="484">
        <v>1.61222125291139</v>
      </c>
      <c r="AV60" s="484">
        <v>3.2454840667913203E-2</v>
      </c>
      <c r="AW60" s="484">
        <v>95.941449674879607</v>
      </c>
      <c r="AX60" s="260">
        <v>9643.6201164261256</v>
      </c>
      <c r="AY60" s="261">
        <v>10049.94281288927</v>
      </c>
      <c r="BW60" s="553" t="str">
        <f t="shared" si="7"/>
        <v>WY</v>
      </c>
      <c r="BX60" s="554">
        <f t="shared" si="8"/>
        <v>2026.26</v>
      </c>
      <c r="BY60" s="554">
        <f t="shared" si="9"/>
        <v>1.3939999999999999</v>
      </c>
      <c r="BZ60" s="554">
        <f t="shared" si="10"/>
        <v>1.58</v>
      </c>
      <c r="CA60" s="555">
        <f t="shared" si="11"/>
        <v>9738.3928323208238</v>
      </c>
      <c r="CB60" s="476"/>
      <c r="CP60" s="477" t="s">
        <v>578</v>
      </c>
      <c r="CQ60" s="482" t="s">
        <v>578</v>
      </c>
      <c r="CR60" s="413"/>
      <c r="CU60" s="483" t="s">
        <v>117</v>
      </c>
      <c r="CV60" s="483" t="s">
        <v>117</v>
      </c>
    </row>
    <row r="61" spans="2:105" s="420" customFormat="1" ht="15" customHeight="1" x14ac:dyDescent="0.25">
      <c r="B61" s="696"/>
      <c r="C61" s="735" t="s">
        <v>362</v>
      </c>
      <c r="D61" s="729"/>
      <c r="E61" s="763"/>
      <c r="F61" s="763" t="s">
        <v>255</v>
      </c>
      <c r="G61" s="763">
        <f>G137</f>
        <v>888.49436853217276</v>
      </c>
      <c r="H61" s="763"/>
      <c r="I61" s="763">
        <f>I137</f>
        <v>651.99825767644609</v>
      </c>
      <c r="J61" s="763"/>
      <c r="K61" s="763">
        <f>K137</f>
        <v>665.06595085335255</v>
      </c>
      <c r="L61" s="763"/>
      <c r="M61" s="763">
        <f>M137</f>
        <v>920.94708461832045</v>
      </c>
      <c r="N61" s="763"/>
      <c r="O61" s="763">
        <f>O137</f>
        <v>1295.6257857858591</v>
      </c>
      <c r="P61" s="763"/>
      <c r="Q61" s="764">
        <f>Q137</f>
        <v>1295.6257857858591</v>
      </c>
      <c r="R61" s="699"/>
      <c r="T61" s="262">
        <v>51</v>
      </c>
      <c r="U61" s="263" t="s">
        <v>360</v>
      </c>
      <c r="V61" s="484">
        <v>13744.3</v>
      </c>
      <c r="W61" s="484">
        <v>454360590.958</v>
      </c>
      <c r="X61" s="484">
        <v>46656629.978</v>
      </c>
      <c r="Y61" s="484">
        <v>36847.688000000002</v>
      </c>
      <c r="Z61" s="484">
        <v>32523.13</v>
      </c>
      <c r="AA61" s="484">
        <v>47269240.574000001</v>
      </c>
      <c r="AB61" s="484">
        <v>1.58</v>
      </c>
      <c r="AC61" s="484">
        <v>1.3939999999999999</v>
      </c>
      <c r="AD61" s="484">
        <v>2026.26</v>
      </c>
      <c r="AE61" s="484">
        <v>0.16200000000000001</v>
      </c>
      <c r="AF61" s="484">
        <v>0.16400000000000001</v>
      </c>
      <c r="AG61" s="484">
        <v>0.14299999999999999</v>
      </c>
      <c r="AH61" s="484">
        <v>208.06899999999999</v>
      </c>
      <c r="AI61" s="484">
        <v>1.823</v>
      </c>
      <c r="AJ61" s="484">
        <v>1.609</v>
      </c>
      <c r="AK61" s="484">
        <v>2324.7469999999998</v>
      </c>
      <c r="AL61" s="484">
        <v>0.16400000000000001</v>
      </c>
      <c r="AM61" s="484">
        <v>0.14499999999999999</v>
      </c>
      <c r="AN61" s="484">
        <v>209.25200000000001</v>
      </c>
      <c r="AO61" s="484">
        <v>40026874.240000002</v>
      </c>
      <c r="AP61" s="484">
        <v>55635.565999999999</v>
      </c>
      <c r="AQ61" s="484">
        <v>788142.61800000002</v>
      </c>
      <c r="AR61" s="484">
        <v>358138.31599999999</v>
      </c>
      <c r="AS61" s="484">
        <v>85.790323558519503</v>
      </c>
      <c r="AT61" s="484">
        <v>0.119244714935337</v>
      </c>
      <c r="AU61" s="484">
        <v>1.6892403289615101</v>
      </c>
      <c r="AV61" s="484">
        <v>0.76760433063342104</v>
      </c>
      <c r="AW61" s="484">
        <v>88.505757625000001</v>
      </c>
      <c r="AX61" s="264">
        <v>9738.3928323208238</v>
      </c>
      <c r="AY61" s="265">
        <v>11003.117753431805</v>
      </c>
      <c r="BA61" s="552"/>
      <c r="BB61" s="552"/>
      <c r="BC61" s="552"/>
      <c r="BD61" s="552"/>
      <c r="BE61" s="552"/>
      <c r="BF61" s="552"/>
      <c r="BH61" s="552"/>
      <c r="BI61" s="552"/>
      <c r="BJ61" s="552"/>
      <c r="BK61" s="552"/>
      <c r="BL61" s="552"/>
      <c r="BM61" s="552"/>
      <c r="BN61" s="552"/>
      <c r="BO61" s="552"/>
      <c r="BW61" s="556" t="s">
        <v>363</v>
      </c>
      <c r="BX61" s="557">
        <f t="shared" ref="BX61:BX86" si="12">AK9</f>
        <v>1565.2376274509809</v>
      </c>
      <c r="BY61" s="557">
        <f t="shared" ref="BY61:BY86" si="13">AJ9</f>
        <v>1.2483725490196078</v>
      </c>
      <c r="BZ61" s="557">
        <f t="shared" ref="BZ61:BZ86" si="14">AI9</f>
        <v>1.4468039215686268</v>
      </c>
      <c r="CA61" s="558">
        <f t="shared" ref="CA61:CA86" si="15">AY9</f>
        <v>8715.3972664929388</v>
      </c>
      <c r="CB61" s="534"/>
      <c r="CP61" s="477" t="s">
        <v>581</v>
      </c>
      <c r="CQ61" s="482" t="s">
        <v>581</v>
      </c>
      <c r="CR61" s="535"/>
      <c r="CU61" s="413"/>
      <c r="CV61" s="413"/>
      <c r="CW61" s="535"/>
      <c r="CX61" s="535"/>
      <c r="CY61" s="535"/>
      <c r="CZ61" s="535"/>
      <c r="DA61" s="535"/>
    </row>
    <row r="62" spans="2:105" s="420" customFormat="1" ht="15" customHeight="1" x14ac:dyDescent="0.25">
      <c r="B62" s="696"/>
      <c r="C62" s="765" t="s">
        <v>364</v>
      </c>
      <c r="D62" s="766"/>
      <c r="E62" s="767"/>
      <c r="F62" s="767" t="s">
        <v>255</v>
      </c>
      <c r="G62" s="767">
        <f>G138</f>
        <v>620.58156573496422</v>
      </c>
      <c r="H62" s="767"/>
      <c r="I62" s="767">
        <f>I138</f>
        <v>455.39748358086086</v>
      </c>
      <c r="J62" s="767"/>
      <c r="K62" s="767">
        <f>K138</f>
        <v>464.52480028593584</v>
      </c>
      <c r="L62" s="767"/>
      <c r="M62" s="767">
        <f>M138</f>
        <v>643.24862821096508</v>
      </c>
      <c r="N62" s="767"/>
      <c r="O62" s="767">
        <f>O138</f>
        <v>904.94831169035945</v>
      </c>
      <c r="P62" s="767"/>
      <c r="Q62" s="768">
        <f>Q138</f>
        <v>904.94831169035945</v>
      </c>
      <c r="R62" s="699"/>
      <c r="T62" s="258">
        <v>52</v>
      </c>
      <c r="U62" s="263" t="s">
        <v>578</v>
      </c>
      <c r="V62" s="484">
        <v>2406.1</v>
      </c>
      <c r="W62" s="484">
        <v>37034855.156000003</v>
      </c>
      <c r="X62" s="484">
        <v>4705315.7690000003</v>
      </c>
      <c r="Y62" s="484">
        <v>15338.096</v>
      </c>
      <c r="Z62" s="484">
        <v>1235.068</v>
      </c>
      <c r="AA62" s="484">
        <v>2522706.9920000001</v>
      </c>
      <c r="AB62" s="484">
        <v>6.5190000000000001</v>
      </c>
      <c r="AC62" s="484">
        <v>0.52500000000000002</v>
      </c>
      <c r="AD62" s="484">
        <v>1072.28</v>
      </c>
      <c r="AE62" s="484">
        <v>0.82799999999999996</v>
      </c>
      <c r="AF62" s="484">
        <v>0.83199999999999996</v>
      </c>
      <c r="AG62" s="484">
        <v>6.7000000000000004E-2</v>
      </c>
      <c r="AH62" s="484">
        <v>136.23400000000001</v>
      </c>
      <c r="AI62" s="484">
        <v>7.6580000000000004</v>
      </c>
      <c r="AJ62" s="484">
        <v>0.624</v>
      </c>
      <c r="AK62" s="484">
        <v>1281.606</v>
      </c>
      <c r="AL62" s="484">
        <v>0.82299999999999995</v>
      </c>
      <c r="AM62" s="484">
        <v>6.7000000000000004E-2</v>
      </c>
      <c r="AN62" s="484">
        <v>137.739</v>
      </c>
      <c r="AO62" s="484">
        <v>594138.93299999996</v>
      </c>
      <c r="AP62" s="484">
        <v>430960.62599999999</v>
      </c>
      <c r="AQ62" s="484">
        <v>2911689.3640000001</v>
      </c>
      <c r="AR62" s="484">
        <v>0</v>
      </c>
      <c r="AS62" s="484">
        <v>12.6269726022292</v>
      </c>
      <c r="AT62" s="484">
        <v>9.1590160396735705</v>
      </c>
      <c r="AU62" s="484">
        <v>61.880849382799397</v>
      </c>
      <c r="AV62" s="484">
        <v>0</v>
      </c>
      <c r="AW62" s="484">
        <v>84.519551168086593</v>
      </c>
      <c r="AX62" s="264">
        <v>7870.8543643333114</v>
      </c>
      <c r="AY62" s="265">
        <v>9312.4658798534128</v>
      </c>
      <c r="BA62" s="552"/>
      <c r="BB62" s="552"/>
      <c r="BC62" s="552"/>
      <c r="BD62" s="552"/>
      <c r="BE62" s="552"/>
      <c r="BF62" s="552"/>
      <c r="BH62" s="552"/>
      <c r="BI62" s="552"/>
      <c r="BJ62" s="552"/>
      <c r="BK62" s="552"/>
      <c r="BL62" s="552"/>
      <c r="BM62" s="552"/>
      <c r="BN62" s="552"/>
      <c r="BO62" s="552"/>
      <c r="BW62" s="531" t="s">
        <v>365</v>
      </c>
      <c r="BX62" s="532">
        <f t="shared" si="12"/>
        <v>1311.3109999999999</v>
      </c>
      <c r="BY62" s="532">
        <f t="shared" si="13"/>
        <v>0.77800000000000002</v>
      </c>
      <c r="BZ62" s="532">
        <f t="shared" si="14"/>
        <v>9.2650000000000006</v>
      </c>
      <c r="CA62" s="533">
        <f t="shared" si="15"/>
        <v>9442.432137408412</v>
      </c>
      <c r="CP62" s="477" t="s">
        <v>623</v>
      </c>
      <c r="CQ62" s="482" t="s">
        <v>623</v>
      </c>
      <c r="CR62" s="535"/>
      <c r="CU62" s="535"/>
      <c r="CV62" s="535"/>
      <c r="CW62" s="535"/>
      <c r="CX62" s="535"/>
      <c r="CY62" s="535"/>
      <c r="CZ62" s="535"/>
      <c r="DA62" s="535"/>
    </row>
    <row r="63" spans="2:105" s="420" customFormat="1" ht="15" customHeight="1" x14ac:dyDescent="0.25">
      <c r="B63" s="696"/>
      <c r="C63" s="729"/>
      <c r="D63" s="729"/>
      <c r="E63" s="731"/>
      <c r="F63" s="731"/>
      <c r="G63" s="701"/>
      <c r="H63" s="701"/>
      <c r="I63" s="701"/>
      <c r="J63" s="701"/>
      <c r="K63" s="701"/>
      <c r="L63" s="701"/>
      <c r="M63" s="701"/>
      <c r="N63" s="701"/>
      <c r="O63" s="701"/>
      <c r="P63" s="701"/>
      <c r="Q63" s="701"/>
      <c r="R63" s="699"/>
      <c r="T63" s="258">
        <v>53</v>
      </c>
      <c r="U63" s="263" t="s">
        <v>581</v>
      </c>
      <c r="V63" s="484">
        <v>1033.2</v>
      </c>
      <c r="W63" s="484">
        <v>5518225.4720000001</v>
      </c>
      <c r="X63" s="484">
        <v>1629717.7420000001</v>
      </c>
      <c r="Y63" s="484">
        <v>5670.0389999999998</v>
      </c>
      <c r="Z63" s="484">
        <v>513.39700000000005</v>
      </c>
      <c r="AA63" s="484">
        <v>409975.55200000003</v>
      </c>
      <c r="AB63" s="484">
        <v>6.9580000000000002</v>
      </c>
      <c r="AC63" s="484">
        <v>0.63</v>
      </c>
      <c r="AD63" s="484">
        <v>503.125</v>
      </c>
      <c r="AE63" s="484">
        <v>2.0550000000000002</v>
      </c>
      <c r="AF63" s="484">
        <v>1.9379999999999999</v>
      </c>
      <c r="AG63" s="484">
        <v>0.186</v>
      </c>
      <c r="AH63" s="484">
        <v>148.59</v>
      </c>
      <c r="AI63" s="484">
        <v>21.126000000000001</v>
      </c>
      <c r="AJ63" s="484">
        <v>1.913</v>
      </c>
      <c r="AK63" s="484">
        <v>1530.6780000000001</v>
      </c>
      <c r="AL63" s="484">
        <v>2.0499999999999998</v>
      </c>
      <c r="AM63" s="484">
        <v>0.186</v>
      </c>
      <c r="AN63" s="484">
        <v>148.524</v>
      </c>
      <c r="AO63" s="484">
        <v>0</v>
      </c>
      <c r="AP63" s="484">
        <v>400369.02100000001</v>
      </c>
      <c r="AQ63" s="484">
        <v>128797.939</v>
      </c>
      <c r="AR63" s="484">
        <v>0</v>
      </c>
      <c r="AS63" s="484">
        <v>0</v>
      </c>
      <c r="AT63" s="484">
        <v>24.566770746448402</v>
      </c>
      <c r="AU63" s="484">
        <v>7.9030825914676504</v>
      </c>
      <c r="AV63" s="484">
        <v>0</v>
      </c>
      <c r="AW63" s="484">
        <v>32.500642718658803</v>
      </c>
      <c r="AX63" s="264">
        <v>3386.000734843813</v>
      </c>
      <c r="AY63" s="265">
        <v>10418.257781269085</v>
      </c>
      <c r="BA63" s="552"/>
      <c r="BB63" s="552"/>
      <c r="BC63" s="552"/>
      <c r="BD63" s="552"/>
      <c r="BE63" s="552"/>
      <c r="BF63" s="552"/>
      <c r="BH63" s="552"/>
      <c r="BI63" s="552"/>
      <c r="BJ63" s="552"/>
      <c r="BK63" s="552"/>
      <c r="BL63" s="552"/>
      <c r="BM63" s="552"/>
      <c r="BN63" s="552"/>
      <c r="BO63" s="552"/>
      <c r="BW63" s="477" t="s">
        <v>366</v>
      </c>
      <c r="BX63" s="501">
        <f t="shared" si="12"/>
        <v>1404.7370000000001</v>
      </c>
      <c r="BY63" s="501">
        <f t="shared" si="13"/>
        <v>0.55700000000000005</v>
      </c>
      <c r="BZ63" s="501">
        <f t="shared" si="14"/>
        <v>0.60399999999999998</v>
      </c>
      <c r="CA63" s="502">
        <f t="shared" si="15"/>
        <v>8635.3625639537586</v>
      </c>
      <c r="CP63" s="477" t="s">
        <v>620</v>
      </c>
      <c r="CQ63" s="482" t="s">
        <v>620</v>
      </c>
      <c r="CR63" s="535"/>
      <c r="CU63" s="535"/>
      <c r="CV63" s="535"/>
      <c r="CW63" s="535"/>
      <c r="CX63" s="535"/>
      <c r="CY63" s="535"/>
      <c r="CZ63" s="535"/>
      <c r="DA63" s="535"/>
    </row>
    <row r="64" spans="2:105" ht="15" customHeight="1" thickBot="1" x14ac:dyDescent="0.3">
      <c r="B64" s="769"/>
      <c r="C64" s="770"/>
      <c r="D64" s="770"/>
      <c r="E64" s="771"/>
      <c r="F64" s="771"/>
      <c r="G64" s="772"/>
      <c r="H64" s="772"/>
      <c r="I64" s="772"/>
      <c r="J64" s="772"/>
      <c r="K64" s="772"/>
      <c r="L64" s="772"/>
      <c r="M64" s="772"/>
      <c r="N64" s="772"/>
      <c r="O64" s="772"/>
      <c r="P64" s="772"/>
      <c r="Q64" s="772"/>
      <c r="R64" s="773"/>
      <c r="T64" s="262">
        <v>54</v>
      </c>
      <c r="U64" s="263" t="s">
        <v>623</v>
      </c>
      <c r="V64" s="484">
        <v>63308.3</v>
      </c>
      <c r="W64" s="484">
        <v>1060149568.706</v>
      </c>
      <c r="X64" s="484">
        <v>166327576.05399999</v>
      </c>
      <c r="Y64" s="484">
        <v>79933.546000000002</v>
      </c>
      <c r="Z64" s="484">
        <v>22958.347000000002</v>
      </c>
      <c r="AA64" s="484">
        <v>86793512.030000001</v>
      </c>
      <c r="AB64" s="484">
        <v>0.96099999999999997</v>
      </c>
      <c r="AC64" s="484">
        <v>0.27600000000000002</v>
      </c>
      <c r="AD64" s="484">
        <v>1043.645</v>
      </c>
      <c r="AE64" s="484">
        <v>0.151</v>
      </c>
      <c r="AF64" s="484">
        <v>0.13800000000000001</v>
      </c>
      <c r="AG64" s="484">
        <v>4.2999999999999997E-2</v>
      </c>
      <c r="AH64" s="484">
        <v>163.738</v>
      </c>
      <c r="AI64" s="484">
        <v>1.3640000000000001</v>
      </c>
      <c r="AJ64" s="484">
        <v>0.371</v>
      </c>
      <c r="AK64" s="484">
        <v>1497</v>
      </c>
      <c r="AL64" s="484">
        <v>0.15</v>
      </c>
      <c r="AM64" s="484">
        <v>4.1000000000000002E-2</v>
      </c>
      <c r="AN64" s="484">
        <v>164.84299999999999</v>
      </c>
      <c r="AO64" s="484">
        <v>49085178.170000002</v>
      </c>
      <c r="AP64" s="484">
        <v>104448.564</v>
      </c>
      <c r="AQ64" s="484">
        <v>66277483.534000002</v>
      </c>
      <c r="AR64" s="484">
        <v>742.45600000000002</v>
      </c>
      <c r="AS64" s="484">
        <v>29.511032890245701</v>
      </c>
      <c r="AT64" s="484">
        <v>6.2796655170884896E-2</v>
      </c>
      <c r="AU64" s="484">
        <v>39.847405456704998</v>
      </c>
      <c r="AV64" s="484">
        <v>4.4638003267861602E-4</v>
      </c>
      <c r="AW64" s="484">
        <v>69.805984905611993</v>
      </c>
      <c r="AX64" s="264">
        <v>6373.8653196136956</v>
      </c>
      <c r="AY64" s="265">
        <v>9130.7934873041595</v>
      </c>
      <c r="BW64" s="477" t="s">
        <v>367</v>
      </c>
      <c r="BX64" s="501">
        <f t="shared" si="12"/>
        <v>1611.9490000000001</v>
      </c>
      <c r="BY64" s="501">
        <f t="shared" si="13"/>
        <v>2.2349999999999999</v>
      </c>
      <c r="BZ64" s="501">
        <f t="shared" si="14"/>
        <v>1.29</v>
      </c>
      <c r="CA64" s="502">
        <f t="shared" si="15"/>
        <v>8934.238942152615</v>
      </c>
      <c r="CP64" s="477" t="s">
        <v>584</v>
      </c>
      <c r="CQ64" s="482" t="s">
        <v>584</v>
      </c>
      <c r="CR64" s="413"/>
      <c r="CU64" s="535"/>
      <c r="CV64" s="535"/>
    </row>
    <row r="65" spans="2:105" ht="15" customHeight="1" x14ac:dyDescent="0.3">
      <c r="B65" s="417"/>
      <c r="C65" s="452" t="s">
        <v>368</v>
      </c>
      <c r="D65" s="452"/>
      <c r="E65" s="453"/>
      <c r="F65" s="418"/>
      <c r="G65" s="418"/>
      <c r="H65" s="418"/>
      <c r="I65" s="418"/>
      <c r="J65" s="418"/>
      <c r="K65" s="418"/>
      <c r="L65" s="418"/>
      <c r="M65" s="418"/>
      <c r="N65" s="418"/>
      <c r="O65" s="418"/>
      <c r="P65" s="418"/>
      <c r="Q65" s="418"/>
      <c r="R65" s="419"/>
      <c r="T65" s="258">
        <v>55</v>
      </c>
      <c r="U65" s="263" t="s">
        <v>620</v>
      </c>
      <c r="V65" s="484">
        <v>110655.6</v>
      </c>
      <c r="W65" s="484">
        <v>884398707.02600002</v>
      </c>
      <c r="X65" s="484">
        <v>200602485.03099999</v>
      </c>
      <c r="Y65" s="484">
        <v>56897.036</v>
      </c>
      <c r="Z65" s="484">
        <v>5192.5529999999999</v>
      </c>
      <c r="AA65" s="484">
        <v>52945255.059</v>
      </c>
      <c r="AB65" s="484">
        <v>0.56699999999999995</v>
      </c>
      <c r="AC65" s="484">
        <v>5.1999999999999998E-2</v>
      </c>
      <c r="AD65" s="484">
        <v>527.86199999999997</v>
      </c>
      <c r="AE65" s="484">
        <v>0.129</v>
      </c>
      <c r="AF65" s="484">
        <v>0.125</v>
      </c>
      <c r="AG65" s="484">
        <v>1.2E-2</v>
      </c>
      <c r="AH65" s="484">
        <v>119.732</v>
      </c>
      <c r="AI65" s="484">
        <v>0.79</v>
      </c>
      <c r="AJ65" s="484">
        <v>6.0999999999999999E-2</v>
      </c>
      <c r="AK65" s="484">
        <v>956.99</v>
      </c>
      <c r="AL65" s="484">
        <v>0.105</v>
      </c>
      <c r="AM65" s="484">
        <v>8.0000000000000002E-3</v>
      </c>
      <c r="AN65" s="484">
        <v>126.85599999999999</v>
      </c>
      <c r="AO65" s="484">
        <v>8709846.8149999995</v>
      </c>
      <c r="AP65" s="484">
        <v>187090.04699999999</v>
      </c>
      <c r="AQ65" s="484">
        <v>97097196.554000005</v>
      </c>
      <c r="AR65" s="484">
        <v>1426815.666</v>
      </c>
      <c r="AS65" s="484">
        <v>4.3418439453164801</v>
      </c>
      <c r="AT65" s="484">
        <v>9.3264072841897097E-2</v>
      </c>
      <c r="AU65" s="484">
        <v>48.402788696483903</v>
      </c>
      <c r="AV65" s="484">
        <v>0.71126520271697802</v>
      </c>
      <c r="AW65" s="484">
        <v>56.6440505506311</v>
      </c>
      <c r="AX65" s="264">
        <v>4408.7126183373548</v>
      </c>
      <c r="AY65" s="265">
        <v>7783.187454703896</v>
      </c>
      <c r="BW65" s="477" t="s">
        <v>369</v>
      </c>
      <c r="BX65" s="501">
        <f t="shared" si="12"/>
        <v>1567.7729999999999</v>
      </c>
      <c r="BY65" s="501">
        <f t="shared" si="13"/>
        <v>0.39900000000000002</v>
      </c>
      <c r="BZ65" s="501">
        <f t="shared" si="14"/>
        <v>1.034</v>
      </c>
      <c r="CA65" s="502">
        <f t="shared" si="15"/>
        <v>9295.8812783401863</v>
      </c>
      <c r="CP65" s="477" t="s">
        <v>587</v>
      </c>
      <c r="CQ65" s="482" t="s">
        <v>587</v>
      </c>
      <c r="CR65" s="413"/>
    </row>
    <row r="66" spans="2:105" ht="15" customHeight="1" x14ac:dyDescent="0.25">
      <c r="B66" s="417"/>
      <c r="C66" s="418"/>
      <c r="D66" s="418"/>
      <c r="E66" s="453"/>
      <c r="F66" s="418"/>
      <c r="G66" s="418"/>
      <c r="H66" s="418"/>
      <c r="I66" s="418"/>
      <c r="J66" s="418"/>
      <c r="K66" s="418"/>
      <c r="L66" s="418"/>
      <c r="M66" s="418"/>
      <c r="N66" s="418"/>
      <c r="O66" s="418"/>
      <c r="P66" s="418"/>
      <c r="Q66" s="418"/>
      <c r="R66" s="419"/>
      <c r="T66" s="258">
        <v>56</v>
      </c>
      <c r="U66" s="263" t="s">
        <v>584</v>
      </c>
      <c r="V66" s="484">
        <v>159336.29999999999</v>
      </c>
      <c r="W66" s="484">
        <v>2454551297.9029999</v>
      </c>
      <c r="X66" s="484">
        <v>389939061.95899999</v>
      </c>
      <c r="Y66" s="484">
        <v>106194.764</v>
      </c>
      <c r="Z66" s="484">
        <v>201831.99100000001</v>
      </c>
      <c r="AA66" s="484">
        <v>196754748.55000001</v>
      </c>
      <c r="AB66" s="484">
        <v>0.54500000000000004</v>
      </c>
      <c r="AC66" s="484">
        <v>1.0349999999999999</v>
      </c>
      <c r="AD66" s="484">
        <v>1009.1559999999999</v>
      </c>
      <c r="AE66" s="484">
        <v>8.6999999999999994E-2</v>
      </c>
      <c r="AF66" s="484">
        <v>8.5000000000000006E-2</v>
      </c>
      <c r="AG66" s="484">
        <v>0.16400000000000001</v>
      </c>
      <c r="AH66" s="484">
        <v>160.31800000000001</v>
      </c>
      <c r="AI66" s="484">
        <v>0.69899999999999995</v>
      </c>
      <c r="AJ66" s="484">
        <v>1.3819999999999999</v>
      </c>
      <c r="AK66" s="484">
        <v>1351.1410000000001</v>
      </c>
      <c r="AL66" s="484">
        <v>8.3000000000000004E-2</v>
      </c>
      <c r="AM66" s="484">
        <v>0.16500000000000001</v>
      </c>
      <c r="AN66" s="484">
        <v>161.09800000000001</v>
      </c>
      <c r="AO66" s="484">
        <v>101006612.69</v>
      </c>
      <c r="AP66" s="484">
        <v>178137.041</v>
      </c>
      <c r="AQ66" s="484">
        <v>187922725.435</v>
      </c>
      <c r="AR66" s="484">
        <v>1838398.9939999999</v>
      </c>
      <c r="AS66" s="484">
        <v>25.903178882614</v>
      </c>
      <c r="AT66" s="484">
        <v>4.5683302466585599E-2</v>
      </c>
      <c r="AU66" s="484">
        <v>48.192844442679601</v>
      </c>
      <c r="AV66" s="484">
        <v>0.471458023697434</v>
      </c>
      <c r="AW66" s="484">
        <v>75.059719184960301</v>
      </c>
      <c r="AX66" s="264">
        <v>6294.7048330364059</v>
      </c>
      <c r="AY66" s="265">
        <v>8386.2621726782218</v>
      </c>
      <c r="BW66" s="477" t="s">
        <v>370</v>
      </c>
      <c r="BX66" s="501">
        <f t="shared" si="12"/>
        <v>867.42100000000005</v>
      </c>
      <c r="BY66" s="501">
        <f t="shared" si="13"/>
        <v>0.01</v>
      </c>
      <c r="BZ66" s="501">
        <f t="shared" si="14"/>
        <v>0.64800000000000002</v>
      </c>
      <c r="CA66" s="502">
        <f t="shared" si="15"/>
        <v>7652.2145921054962</v>
      </c>
      <c r="CP66" s="477" t="s">
        <v>590</v>
      </c>
      <c r="CQ66" s="482" t="s">
        <v>590</v>
      </c>
      <c r="CR66" s="413"/>
    </row>
    <row r="67" spans="2:105" ht="15" customHeight="1" x14ac:dyDescent="0.25">
      <c r="B67" s="417"/>
      <c r="C67" s="560" t="s">
        <v>268</v>
      </c>
      <c r="D67" s="560"/>
      <c r="E67" s="561" t="s">
        <v>251</v>
      </c>
      <c r="F67" s="560" t="s">
        <v>252</v>
      </c>
      <c r="G67" s="560" t="s">
        <v>371</v>
      </c>
      <c r="H67" s="562"/>
      <c r="I67" s="562"/>
      <c r="J67" s="562"/>
      <c r="K67" s="560" t="s">
        <v>372</v>
      </c>
      <c r="L67" s="562"/>
      <c r="M67" s="562"/>
      <c r="N67" s="562"/>
      <c r="O67" s="562"/>
      <c r="P67" s="562"/>
      <c r="Q67" s="562"/>
      <c r="R67" s="563"/>
      <c r="T67" s="262">
        <v>57</v>
      </c>
      <c r="U67" s="263" t="s">
        <v>587</v>
      </c>
      <c r="V67" s="484">
        <v>97820.3</v>
      </c>
      <c r="W67" s="484">
        <v>1665956580.8150001</v>
      </c>
      <c r="X67" s="484">
        <v>229407929.06</v>
      </c>
      <c r="Y67" s="484">
        <v>61022.224999999999</v>
      </c>
      <c r="Z67" s="484">
        <v>42714.18</v>
      </c>
      <c r="AA67" s="484">
        <v>116043999.116</v>
      </c>
      <c r="AB67" s="484">
        <v>0.53200000000000003</v>
      </c>
      <c r="AC67" s="484">
        <v>0.372</v>
      </c>
      <c r="AD67" s="484">
        <v>1011.683</v>
      </c>
      <c r="AE67" s="484">
        <v>7.2999999999999995E-2</v>
      </c>
      <c r="AF67" s="484">
        <v>7.2999999999999995E-2</v>
      </c>
      <c r="AG67" s="484">
        <v>5.0999999999999997E-2</v>
      </c>
      <c r="AH67" s="484">
        <v>139.31200000000001</v>
      </c>
      <c r="AI67" s="484">
        <v>0.52900000000000003</v>
      </c>
      <c r="AJ67" s="484">
        <v>0.42499999999999999</v>
      </c>
      <c r="AK67" s="484">
        <v>1183.5239999999999</v>
      </c>
      <c r="AL67" s="484">
        <v>6.4000000000000001E-2</v>
      </c>
      <c r="AM67" s="484">
        <v>5.1999999999999998E-2</v>
      </c>
      <c r="AN67" s="484">
        <v>143.661</v>
      </c>
      <c r="AO67" s="484">
        <v>36790857.618000001</v>
      </c>
      <c r="AP67" s="484">
        <v>2814817.3309999998</v>
      </c>
      <c r="AQ67" s="484">
        <v>152730470.89500001</v>
      </c>
      <c r="AR67" s="484">
        <v>19074.169999999998</v>
      </c>
      <c r="AS67" s="484">
        <v>16.037308649209798</v>
      </c>
      <c r="AT67" s="484">
        <v>1.22699217281377</v>
      </c>
      <c r="AU67" s="484">
        <v>66.575933817968306</v>
      </c>
      <c r="AV67" s="484">
        <v>8.3145208163844502E-3</v>
      </c>
      <c r="AW67" s="484">
        <v>87.026758775463193</v>
      </c>
      <c r="AX67" s="264">
        <v>7261.9834355388866</v>
      </c>
      <c r="AY67" s="265">
        <v>8344.5408560102642</v>
      </c>
      <c r="BW67" s="531" t="s">
        <v>373</v>
      </c>
      <c r="BX67" s="532">
        <f t="shared" si="12"/>
        <v>1874.1980000000001</v>
      </c>
      <c r="BY67" s="532">
        <f t="shared" si="13"/>
        <v>0.89800000000000002</v>
      </c>
      <c r="BZ67" s="532">
        <f t="shared" si="14"/>
        <v>1.4039999999999999</v>
      </c>
      <c r="CA67" s="533">
        <f t="shared" si="15"/>
        <v>10005.875783028932</v>
      </c>
      <c r="CP67" s="477" t="s">
        <v>592</v>
      </c>
      <c r="CQ67" s="482" t="s">
        <v>592</v>
      </c>
      <c r="CR67" s="413"/>
    </row>
    <row r="68" spans="2:105" ht="28.5" customHeight="1" x14ac:dyDescent="0.25">
      <c r="B68" s="417"/>
      <c r="C68" s="822" t="s">
        <v>374</v>
      </c>
      <c r="D68" s="822"/>
      <c r="E68" s="564">
        <v>1020</v>
      </c>
      <c r="F68" s="565" t="s">
        <v>375</v>
      </c>
      <c r="G68" s="822" t="s">
        <v>376</v>
      </c>
      <c r="H68" s="822"/>
      <c r="I68" s="822"/>
      <c r="J68" s="565"/>
      <c r="K68" s="823" t="s">
        <v>377</v>
      </c>
      <c r="L68" s="823"/>
      <c r="M68" s="823"/>
      <c r="N68" s="823"/>
      <c r="O68" s="823"/>
      <c r="P68" s="823"/>
      <c r="Q68" s="823"/>
      <c r="R68" s="566"/>
      <c r="T68" s="258">
        <v>58</v>
      </c>
      <c r="U68" s="263" t="s">
        <v>590</v>
      </c>
      <c r="V68" s="484">
        <v>1164.0999999999999</v>
      </c>
      <c r="W68" s="484">
        <v>20112676.627</v>
      </c>
      <c r="X68" s="484">
        <v>2741703.6669999999</v>
      </c>
      <c r="Y68" s="484">
        <v>10206.656999999999</v>
      </c>
      <c r="Z68" s="484">
        <v>6168.2139999999999</v>
      </c>
      <c r="AA68" s="484">
        <v>1579243.81</v>
      </c>
      <c r="AB68" s="484">
        <v>7.4450000000000003</v>
      </c>
      <c r="AC68" s="484">
        <v>4.5</v>
      </c>
      <c r="AD68" s="484">
        <v>1152.0160000000001</v>
      </c>
      <c r="AE68" s="484">
        <v>1.0149999999999999</v>
      </c>
      <c r="AF68" s="484">
        <v>0.996</v>
      </c>
      <c r="AG68" s="484">
        <v>0.61299999999999999</v>
      </c>
      <c r="AH68" s="484">
        <v>157.04</v>
      </c>
      <c r="AI68" s="484">
        <v>10.913</v>
      </c>
      <c r="AJ68" s="484">
        <v>6.5880000000000001</v>
      </c>
      <c r="AK68" s="484">
        <v>1688.2349999999999</v>
      </c>
      <c r="AL68" s="484">
        <v>1.0620000000000001</v>
      </c>
      <c r="AM68" s="484">
        <v>0.64100000000000001</v>
      </c>
      <c r="AN68" s="484">
        <v>164.36199999999999</v>
      </c>
      <c r="AO68" s="484">
        <v>5525.7640000000001</v>
      </c>
      <c r="AP68" s="484">
        <v>1691007.4029999999</v>
      </c>
      <c r="AQ68" s="484">
        <v>0</v>
      </c>
      <c r="AR68" s="484">
        <v>0</v>
      </c>
      <c r="AS68" s="484">
        <v>0.201544902991484</v>
      </c>
      <c r="AT68" s="484">
        <v>61.677249154237501</v>
      </c>
      <c r="AU68" s="484">
        <v>0</v>
      </c>
      <c r="AV68" s="484">
        <v>0</v>
      </c>
      <c r="AW68" s="484">
        <v>70.265240214769506</v>
      </c>
      <c r="AX68" s="264">
        <v>7335.8316834464813</v>
      </c>
      <c r="AY68" s="265">
        <v>10440.200098473762</v>
      </c>
      <c r="BW68" s="477" t="s">
        <v>378</v>
      </c>
      <c r="BX68" s="501">
        <f t="shared" si="12"/>
        <v>880.13900000000001</v>
      </c>
      <c r="BY68" s="501">
        <f t="shared" si="13"/>
        <v>4.5999999999999999E-2</v>
      </c>
      <c r="BZ68" s="501">
        <f t="shared" si="14"/>
        <v>0.26600000000000001</v>
      </c>
      <c r="CA68" s="502">
        <f t="shared" si="15"/>
        <v>8196.3292026849285</v>
      </c>
      <c r="CP68" s="477" t="s">
        <v>594</v>
      </c>
      <c r="CQ68" s="482" t="s">
        <v>594</v>
      </c>
      <c r="CR68" s="413"/>
    </row>
    <row r="69" spans="2:105" ht="15" customHeight="1" x14ac:dyDescent="0.25">
      <c r="B69" s="417"/>
      <c r="C69" s="809" t="s">
        <v>379</v>
      </c>
      <c r="D69" s="809"/>
      <c r="E69" s="564">
        <v>120000</v>
      </c>
      <c r="F69" s="565" t="s">
        <v>380</v>
      </c>
      <c r="G69" s="809" t="s">
        <v>381</v>
      </c>
      <c r="H69" s="809"/>
      <c r="I69" s="809"/>
      <c r="J69" s="565"/>
      <c r="K69" s="816" t="s">
        <v>377</v>
      </c>
      <c r="L69" s="816"/>
      <c r="M69" s="816"/>
      <c r="N69" s="816"/>
      <c r="O69" s="816"/>
      <c r="P69" s="816"/>
      <c r="Q69" s="816"/>
      <c r="R69" s="566"/>
      <c r="T69" s="258">
        <v>59</v>
      </c>
      <c r="U69" s="263" t="s">
        <v>592</v>
      </c>
      <c r="V69" s="484">
        <v>2337.6999999999998</v>
      </c>
      <c r="W69" s="484">
        <v>72485544.489999995</v>
      </c>
      <c r="X69" s="484">
        <v>7207141</v>
      </c>
      <c r="Y69" s="484">
        <v>12138.194</v>
      </c>
      <c r="Z69" s="484">
        <v>31163.383999999998</v>
      </c>
      <c r="AA69" s="484">
        <v>5992333.6679999996</v>
      </c>
      <c r="AB69" s="484">
        <v>3.3679999999999999</v>
      </c>
      <c r="AC69" s="484">
        <v>8.6479999999999997</v>
      </c>
      <c r="AD69" s="484">
        <v>1662.8879999999999</v>
      </c>
      <c r="AE69" s="484">
        <v>0.33500000000000002</v>
      </c>
      <c r="AF69" s="484">
        <v>0.31900000000000001</v>
      </c>
      <c r="AG69" s="484">
        <v>0.86</v>
      </c>
      <c r="AH69" s="484">
        <v>165.339</v>
      </c>
      <c r="AI69" s="484">
        <v>3.4119999999999999</v>
      </c>
      <c r="AJ69" s="484">
        <v>9.57</v>
      </c>
      <c r="AK69" s="484">
        <v>1731.6289999999999</v>
      </c>
      <c r="AL69" s="484">
        <v>0.34399999999999997</v>
      </c>
      <c r="AM69" s="484">
        <v>0.96499999999999997</v>
      </c>
      <c r="AN69" s="484">
        <v>174.61</v>
      </c>
      <c r="AO69" s="484">
        <v>1491853.75</v>
      </c>
      <c r="AP69" s="484">
        <v>4949308.693</v>
      </c>
      <c r="AQ69" s="484">
        <v>0</v>
      </c>
      <c r="AR69" s="484">
        <v>63380.048000000003</v>
      </c>
      <c r="AS69" s="484">
        <v>20.699659839238599</v>
      </c>
      <c r="AT69" s="484">
        <v>68.672285325881603</v>
      </c>
      <c r="AU69" s="484">
        <v>0</v>
      </c>
      <c r="AV69" s="484">
        <v>0.87940619795647601</v>
      </c>
      <c r="AW69" s="484">
        <v>96.345986486483199</v>
      </c>
      <c r="AX69" s="264">
        <v>10057.461688344933</v>
      </c>
      <c r="AY69" s="265">
        <v>10438.89997231587</v>
      </c>
      <c r="BW69" s="477" t="s">
        <v>382</v>
      </c>
      <c r="BX69" s="501">
        <f t="shared" si="12"/>
        <v>1555.0260000000001</v>
      </c>
      <c r="BY69" s="501">
        <f t="shared" si="13"/>
        <v>0.19400000000000001</v>
      </c>
      <c r="BZ69" s="501">
        <f t="shared" si="14"/>
        <v>3.9969999999999999</v>
      </c>
      <c r="CA69" s="502">
        <f t="shared" si="15"/>
        <v>9979.7428145513368</v>
      </c>
      <c r="CP69" s="477" t="s">
        <v>596</v>
      </c>
      <c r="CQ69" s="482" t="s">
        <v>596</v>
      </c>
      <c r="CR69" s="413"/>
    </row>
    <row r="70" spans="2:105" ht="39" customHeight="1" x14ac:dyDescent="0.25">
      <c r="B70" s="417"/>
      <c r="C70" s="809" t="s">
        <v>383</v>
      </c>
      <c r="D70" s="809"/>
      <c r="E70" s="567">
        <v>0.6</v>
      </c>
      <c r="F70" s="565" t="s">
        <v>380</v>
      </c>
      <c r="G70" s="809" t="s">
        <v>381</v>
      </c>
      <c r="H70" s="809"/>
      <c r="I70" s="809"/>
      <c r="J70" s="565"/>
      <c r="K70" s="816" t="s">
        <v>377</v>
      </c>
      <c r="L70" s="816"/>
      <c r="M70" s="816"/>
      <c r="N70" s="816"/>
      <c r="O70" s="816"/>
      <c r="P70" s="816"/>
      <c r="Q70" s="816"/>
      <c r="R70" s="566"/>
      <c r="T70" s="262">
        <v>60</v>
      </c>
      <c r="U70" s="263" t="s">
        <v>594</v>
      </c>
      <c r="V70" s="484">
        <v>11271.2</v>
      </c>
      <c r="W70" s="484">
        <v>185400680.98899999</v>
      </c>
      <c r="X70" s="484">
        <v>20471859.537</v>
      </c>
      <c r="Y70" s="484">
        <v>10709.482</v>
      </c>
      <c r="Z70" s="484">
        <v>13181.802</v>
      </c>
      <c r="AA70" s="484">
        <v>17075701.596999999</v>
      </c>
      <c r="AB70" s="484">
        <v>1.046</v>
      </c>
      <c r="AC70" s="484">
        <v>1.288</v>
      </c>
      <c r="AD70" s="484">
        <v>1668.212</v>
      </c>
      <c r="AE70" s="484">
        <v>0.11600000000000001</v>
      </c>
      <c r="AF70" s="484">
        <v>0.114</v>
      </c>
      <c r="AG70" s="484">
        <v>0.14199999999999999</v>
      </c>
      <c r="AH70" s="484">
        <v>184.203</v>
      </c>
      <c r="AI70" s="484">
        <v>0.98</v>
      </c>
      <c r="AJ70" s="484">
        <v>1.3919999999999999</v>
      </c>
      <c r="AK70" s="484">
        <v>1969.779</v>
      </c>
      <c r="AL70" s="484">
        <v>9.5000000000000001E-2</v>
      </c>
      <c r="AM70" s="484">
        <v>0.13600000000000001</v>
      </c>
      <c r="AN70" s="484">
        <v>191.86099999999999</v>
      </c>
      <c r="AO70" s="484">
        <v>13210511.573000001</v>
      </c>
      <c r="AP70" s="484">
        <v>129947.992</v>
      </c>
      <c r="AQ70" s="484">
        <v>4206324.625</v>
      </c>
      <c r="AR70" s="484">
        <v>17410.056</v>
      </c>
      <c r="AS70" s="484">
        <v>64.530099627794598</v>
      </c>
      <c r="AT70" s="484">
        <v>0.63476397744735902</v>
      </c>
      <c r="AU70" s="484">
        <v>20.546861158114499</v>
      </c>
      <c r="AV70" s="484">
        <v>8.5043841186413005E-2</v>
      </c>
      <c r="AW70" s="484">
        <v>91.199168756522198</v>
      </c>
      <c r="AX70" s="264">
        <v>9056.3673834276942</v>
      </c>
      <c r="AY70" s="265">
        <v>9930.3177401550092</v>
      </c>
      <c r="BW70" s="477" t="s">
        <v>384</v>
      </c>
      <c r="BX70" s="501">
        <f t="shared" si="12"/>
        <v>1039.9649999999999</v>
      </c>
      <c r="BY70" s="501">
        <f t="shared" si="13"/>
        <v>0.14000000000000001</v>
      </c>
      <c r="BZ70" s="501">
        <f t="shared" si="14"/>
        <v>0.33300000000000002</v>
      </c>
      <c r="CA70" s="502">
        <f t="shared" si="15"/>
        <v>7332.581043557544</v>
      </c>
      <c r="CP70" s="477" t="s">
        <v>600</v>
      </c>
      <c r="CQ70" s="482" t="s">
        <v>600</v>
      </c>
      <c r="CR70" s="413"/>
    </row>
    <row r="71" spans="2:105" ht="39" customHeight="1" x14ac:dyDescent="0.25">
      <c r="B71" s="417"/>
      <c r="C71" s="809" t="s">
        <v>385</v>
      </c>
      <c r="D71" s="809"/>
      <c r="E71" s="567">
        <f>AVERAGE(CF9:CF17)</f>
        <v>125.88888888888889</v>
      </c>
      <c r="F71" s="565" t="s">
        <v>380</v>
      </c>
      <c r="G71" s="809" t="s">
        <v>386</v>
      </c>
      <c r="H71" s="809"/>
      <c r="I71" s="809"/>
      <c r="J71" s="565"/>
      <c r="K71" s="816" t="s">
        <v>387</v>
      </c>
      <c r="L71" s="816"/>
      <c r="M71" s="816"/>
      <c r="N71" s="816"/>
      <c r="O71" s="816"/>
      <c r="P71" s="816"/>
      <c r="Q71" s="816"/>
      <c r="R71" s="566"/>
      <c r="T71" s="258">
        <v>61</v>
      </c>
      <c r="U71" s="263" t="s">
        <v>596</v>
      </c>
      <c r="V71" s="484">
        <v>74698.100000000006</v>
      </c>
      <c r="W71" s="484">
        <v>1358775879.289</v>
      </c>
      <c r="X71" s="484">
        <v>218204106.30399999</v>
      </c>
      <c r="Y71" s="484">
        <v>113818.44500000001</v>
      </c>
      <c r="Z71" s="484">
        <v>151870.764</v>
      </c>
      <c r="AA71" s="484">
        <v>135157508.59599999</v>
      </c>
      <c r="AB71" s="484">
        <v>1.0429999999999999</v>
      </c>
      <c r="AC71" s="484">
        <v>1.3919999999999999</v>
      </c>
      <c r="AD71" s="484">
        <v>1238.817</v>
      </c>
      <c r="AE71" s="484">
        <v>0.16800000000000001</v>
      </c>
      <c r="AF71" s="484">
        <v>0.159</v>
      </c>
      <c r="AG71" s="484">
        <v>0.224</v>
      </c>
      <c r="AH71" s="484">
        <v>198.94</v>
      </c>
      <c r="AI71" s="484">
        <v>1.6539999999999999</v>
      </c>
      <c r="AJ71" s="484">
        <v>2.3109999999999999</v>
      </c>
      <c r="AK71" s="484">
        <v>2068.415</v>
      </c>
      <c r="AL71" s="484">
        <v>0.16200000000000001</v>
      </c>
      <c r="AM71" s="484">
        <v>0.22700000000000001</v>
      </c>
      <c r="AN71" s="484">
        <v>203.18799999999999</v>
      </c>
      <c r="AO71" s="484">
        <v>115022479.189</v>
      </c>
      <c r="AP71" s="484">
        <v>354561.61499999999</v>
      </c>
      <c r="AQ71" s="484">
        <v>14581752.93</v>
      </c>
      <c r="AR71" s="484">
        <v>62940.548000000003</v>
      </c>
      <c r="AS71" s="484">
        <v>52.713251696105203</v>
      </c>
      <c r="AT71" s="484">
        <v>0.16249080862325899</v>
      </c>
      <c r="AU71" s="484">
        <v>6.6826208041168504</v>
      </c>
      <c r="AV71" s="484">
        <v>2.88448047025931E-2</v>
      </c>
      <c r="AW71" s="484">
        <v>61.0965652825505</v>
      </c>
      <c r="AX71" s="264">
        <v>6227.0866589282505</v>
      </c>
      <c r="AY71" s="265">
        <v>10192.20419582706</v>
      </c>
      <c r="BW71" s="477" t="s">
        <v>388</v>
      </c>
      <c r="BX71" s="501">
        <f t="shared" si="12"/>
        <v>1193.3489999999999</v>
      </c>
      <c r="BY71" s="501">
        <f t="shared" si="13"/>
        <v>0.42099999999999999</v>
      </c>
      <c r="BZ71" s="501">
        <f t="shared" si="14"/>
        <v>0.53700000000000003</v>
      </c>
      <c r="CA71" s="502">
        <f t="shared" si="15"/>
        <v>8362.3058444953422</v>
      </c>
      <c r="CP71" s="477" t="s">
        <v>621</v>
      </c>
      <c r="CQ71" s="482" t="s">
        <v>621</v>
      </c>
      <c r="CR71" s="413"/>
    </row>
    <row r="72" spans="2:105" s="420" customFormat="1" ht="39" customHeight="1" x14ac:dyDescent="0.25">
      <c r="B72" s="417"/>
      <c r="C72" s="809" t="s">
        <v>389</v>
      </c>
      <c r="D72" s="809"/>
      <c r="E72" s="568">
        <v>91.5</v>
      </c>
      <c r="F72" s="565" t="s">
        <v>390</v>
      </c>
      <c r="G72" s="809" t="s">
        <v>391</v>
      </c>
      <c r="H72" s="809"/>
      <c r="I72" s="809"/>
      <c r="J72" s="565"/>
      <c r="K72" s="816" t="s">
        <v>392</v>
      </c>
      <c r="L72" s="816"/>
      <c r="M72" s="816"/>
      <c r="N72" s="816"/>
      <c r="O72" s="816"/>
      <c r="P72" s="816"/>
      <c r="Q72" s="816"/>
      <c r="R72" s="566"/>
      <c r="T72" s="258">
        <v>62</v>
      </c>
      <c r="U72" s="263" t="s">
        <v>600</v>
      </c>
      <c r="V72" s="484">
        <v>44890.400000000001</v>
      </c>
      <c r="W72" s="484">
        <v>557588325.14300001</v>
      </c>
      <c r="X72" s="484">
        <v>107729043.454</v>
      </c>
      <c r="Y72" s="484">
        <v>20945.492999999999</v>
      </c>
      <c r="Z72" s="484">
        <v>6773.3289999999997</v>
      </c>
      <c r="AA72" s="484">
        <v>30064802.374000002</v>
      </c>
      <c r="AB72" s="484">
        <v>0.38900000000000001</v>
      </c>
      <c r="AC72" s="484">
        <v>0.126</v>
      </c>
      <c r="AD72" s="484">
        <v>558.15599999999995</v>
      </c>
      <c r="AE72" s="484">
        <v>7.4999999999999997E-2</v>
      </c>
      <c r="AF72" s="484">
        <v>6.7000000000000004E-2</v>
      </c>
      <c r="AG72" s="484">
        <v>2.4E-2</v>
      </c>
      <c r="AH72" s="484">
        <v>107.839</v>
      </c>
      <c r="AI72" s="484">
        <v>0.26700000000000002</v>
      </c>
      <c r="AJ72" s="484">
        <v>0.104</v>
      </c>
      <c r="AK72" s="484">
        <v>933.923</v>
      </c>
      <c r="AL72" s="484">
        <v>3.5999999999999997E-2</v>
      </c>
      <c r="AM72" s="484">
        <v>1.4E-2</v>
      </c>
      <c r="AN72" s="484">
        <v>124.474</v>
      </c>
      <c r="AO72" s="484">
        <v>2544142.318</v>
      </c>
      <c r="AP72" s="484">
        <v>693211.02500000002</v>
      </c>
      <c r="AQ72" s="484">
        <v>53630826.259000003</v>
      </c>
      <c r="AR72" s="484">
        <v>149107.77799999999</v>
      </c>
      <c r="AS72" s="484">
        <v>2.36161233222689</v>
      </c>
      <c r="AT72" s="484">
        <v>0.64347646509122702</v>
      </c>
      <c r="AU72" s="484">
        <v>49.783072190842702</v>
      </c>
      <c r="AV72" s="484">
        <v>0.138410011446439</v>
      </c>
      <c r="AW72" s="484">
        <v>61.222044746334198</v>
      </c>
      <c r="AX72" s="264">
        <v>5175.8403051363639</v>
      </c>
      <c r="AY72" s="265">
        <v>8454.2103155220084</v>
      </c>
      <c r="BA72" s="552"/>
      <c r="BB72" s="552"/>
      <c r="BC72" s="552"/>
      <c r="BD72" s="552"/>
      <c r="BE72" s="552"/>
      <c r="BF72" s="552"/>
      <c r="BH72" s="552"/>
      <c r="BI72" s="552"/>
      <c r="BJ72" s="552"/>
      <c r="BK72" s="552"/>
      <c r="BL72" s="552"/>
      <c r="BM72" s="552"/>
      <c r="BN72" s="552"/>
      <c r="BO72" s="552"/>
      <c r="BW72" s="477" t="s">
        <v>393</v>
      </c>
      <c r="BX72" s="501">
        <f t="shared" si="12"/>
        <v>1464.213</v>
      </c>
      <c r="BY72" s="501">
        <f t="shared" si="13"/>
        <v>0.41099999999999998</v>
      </c>
      <c r="BZ72" s="501">
        <f t="shared" si="14"/>
        <v>0.57499999999999996</v>
      </c>
      <c r="CA72" s="502">
        <f t="shared" si="15"/>
        <v>8815.408637583585</v>
      </c>
      <c r="CP72" s="477" t="s">
        <v>602</v>
      </c>
      <c r="CQ72" s="482" t="s">
        <v>602</v>
      </c>
      <c r="CR72" s="535"/>
      <c r="CU72" s="413"/>
      <c r="CV72" s="413"/>
      <c r="CW72" s="535"/>
      <c r="CX72" s="535"/>
      <c r="CY72" s="535"/>
      <c r="CZ72" s="535"/>
      <c r="DA72" s="535"/>
    </row>
    <row r="73" spans="2:105" ht="39" customHeight="1" x14ac:dyDescent="0.25">
      <c r="B73" s="417"/>
      <c r="C73" s="809" t="s">
        <v>394</v>
      </c>
      <c r="D73" s="809"/>
      <c r="E73" s="564">
        <v>12500</v>
      </c>
      <c r="F73" s="565" t="s">
        <v>395</v>
      </c>
      <c r="G73" s="809" t="s">
        <v>391</v>
      </c>
      <c r="H73" s="809"/>
      <c r="I73" s="809"/>
      <c r="J73" s="565"/>
      <c r="K73" s="816" t="s">
        <v>392</v>
      </c>
      <c r="L73" s="816"/>
      <c r="M73" s="816"/>
      <c r="N73" s="816"/>
      <c r="O73" s="816"/>
      <c r="P73" s="816"/>
      <c r="Q73" s="816"/>
      <c r="R73" s="566"/>
      <c r="T73" s="262">
        <v>63</v>
      </c>
      <c r="U73" s="263" t="s">
        <v>621</v>
      </c>
      <c r="V73" s="484">
        <v>90679.300000000105</v>
      </c>
      <c r="W73" s="484">
        <v>1070374960.541</v>
      </c>
      <c r="X73" s="484">
        <v>284912897.13999999</v>
      </c>
      <c r="Y73" s="484">
        <v>87195.456000000006</v>
      </c>
      <c r="Z73" s="484">
        <v>62608.49</v>
      </c>
      <c r="AA73" s="484">
        <v>92767480.388999999</v>
      </c>
      <c r="AB73" s="484">
        <v>0.61199999999999999</v>
      </c>
      <c r="AC73" s="484">
        <v>0.439</v>
      </c>
      <c r="AD73" s="484">
        <v>651.19899999999996</v>
      </c>
      <c r="AE73" s="484">
        <v>0.16300000000000001</v>
      </c>
      <c r="AF73" s="484">
        <v>0.16200000000000001</v>
      </c>
      <c r="AG73" s="484">
        <v>0.11700000000000001</v>
      </c>
      <c r="AH73" s="484">
        <v>173.33600000000001</v>
      </c>
      <c r="AI73" s="484">
        <v>1.468</v>
      </c>
      <c r="AJ73" s="484">
        <v>1.1120000000000001</v>
      </c>
      <c r="AK73" s="484">
        <v>1706.11</v>
      </c>
      <c r="AL73" s="484">
        <v>0.154</v>
      </c>
      <c r="AM73" s="484">
        <v>0.11700000000000001</v>
      </c>
      <c r="AN73" s="484">
        <v>179.02199999999999</v>
      </c>
      <c r="AO73" s="484">
        <v>64014901.351999998</v>
      </c>
      <c r="AP73" s="484">
        <v>546885.08799999999</v>
      </c>
      <c r="AQ73" s="484">
        <v>43508250.866999999</v>
      </c>
      <c r="AR73" s="484">
        <v>822465.39899999998</v>
      </c>
      <c r="AS73" s="484">
        <v>22.468235895959602</v>
      </c>
      <c r="AT73" s="484">
        <v>0.191948169967503</v>
      </c>
      <c r="AU73" s="484">
        <v>15.2707201488143</v>
      </c>
      <c r="AV73" s="484">
        <v>0.28867257795780699</v>
      </c>
      <c r="AW73" s="484">
        <v>39.6772199848931</v>
      </c>
      <c r="AX73" s="264">
        <v>3756.8497996601432</v>
      </c>
      <c r="AY73" s="265">
        <v>9468.5308824359163</v>
      </c>
      <c r="BW73" s="477" t="s">
        <v>396</v>
      </c>
      <c r="BX73" s="501">
        <f t="shared" si="12"/>
        <v>1721.9570000000001</v>
      </c>
      <c r="BY73" s="501">
        <f t="shared" si="13"/>
        <v>8.9049999999999994</v>
      </c>
      <c r="BZ73" s="501">
        <f t="shared" si="14"/>
        <v>5.0839999999999996</v>
      </c>
      <c r="CA73" s="502">
        <f t="shared" si="15"/>
        <v>10439.18233700428</v>
      </c>
      <c r="CP73" s="477" t="s">
        <v>598</v>
      </c>
      <c r="CQ73" s="482" t="s">
        <v>598</v>
      </c>
      <c r="CR73" s="413"/>
      <c r="CU73" s="535"/>
      <c r="CV73" s="535"/>
    </row>
    <row r="74" spans="2:105" ht="39" customHeight="1" x14ac:dyDescent="0.25">
      <c r="B74" s="417"/>
      <c r="C74" s="809" t="s">
        <v>397</v>
      </c>
      <c r="D74" s="809"/>
      <c r="E74" s="568">
        <v>0.1</v>
      </c>
      <c r="F74" s="565" t="s">
        <v>395</v>
      </c>
      <c r="G74" s="809" t="s">
        <v>391</v>
      </c>
      <c r="H74" s="809"/>
      <c r="I74" s="809"/>
      <c r="J74" s="565"/>
      <c r="K74" s="816" t="s">
        <v>392</v>
      </c>
      <c r="L74" s="816"/>
      <c r="M74" s="816"/>
      <c r="N74" s="816"/>
      <c r="O74" s="816"/>
      <c r="P74" s="816"/>
      <c r="Q74" s="816"/>
      <c r="R74" s="566"/>
      <c r="T74" s="258">
        <v>64</v>
      </c>
      <c r="U74" s="263" t="s">
        <v>602</v>
      </c>
      <c r="V74" s="484">
        <v>16614.3</v>
      </c>
      <c r="W74" s="484">
        <v>238234905.33500001</v>
      </c>
      <c r="X74" s="484">
        <v>44416982.223999999</v>
      </c>
      <c r="Y74" s="484">
        <v>5718.8590000000004</v>
      </c>
      <c r="Z74" s="484">
        <v>345.32400000000001</v>
      </c>
      <c r="AA74" s="484">
        <v>14120374.062000001</v>
      </c>
      <c r="AB74" s="484">
        <v>0.25800000000000001</v>
      </c>
      <c r="AC74" s="484">
        <v>1.6E-2</v>
      </c>
      <c r="AD74" s="484">
        <v>635.80999999999995</v>
      </c>
      <c r="AE74" s="484">
        <v>4.8000000000000001E-2</v>
      </c>
      <c r="AF74" s="484">
        <v>5.3999999999999999E-2</v>
      </c>
      <c r="AG74" s="484">
        <v>3.0000000000000001E-3</v>
      </c>
      <c r="AH74" s="484">
        <v>118.542</v>
      </c>
      <c r="AI74" s="484">
        <v>0.32400000000000001</v>
      </c>
      <c r="AJ74" s="484">
        <v>1.6E-2</v>
      </c>
      <c r="AK74" s="484">
        <v>952.75900000000001</v>
      </c>
      <c r="AL74" s="484">
        <v>0.04</v>
      </c>
      <c r="AM74" s="484">
        <v>2E-3</v>
      </c>
      <c r="AN74" s="484">
        <v>119.181</v>
      </c>
      <c r="AO74" s="484">
        <v>0</v>
      </c>
      <c r="AP74" s="484">
        <v>196126.872</v>
      </c>
      <c r="AQ74" s="484">
        <v>28705805.458999999</v>
      </c>
      <c r="AR74" s="484">
        <v>0</v>
      </c>
      <c r="AS74" s="484">
        <v>0</v>
      </c>
      <c r="AT74" s="484">
        <v>0.44155829979272798</v>
      </c>
      <c r="AU74" s="484">
        <v>64.627995763154999</v>
      </c>
      <c r="AV74" s="484">
        <v>0</v>
      </c>
      <c r="AW74" s="484">
        <v>65.941637170965805</v>
      </c>
      <c r="AX74" s="264">
        <v>5363.5995379774722</v>
      </c>
      <c r="AY74" s="265">
        <v>8133.8585985520858</v>
      </c>
      <c r="BW74" s="477" t="s">
        <v>398</v>
      </c>
      <c r="BX74" s="501">
        <f t="shared" si="12"/>
        <v>1904.19</v>
      </c>
      <c r="BY74" s="501">
        <f t="shared" si="13"/>
        <v>1.998</v>
      </c>
      <c r="BZ74" s="501">
        <f t="shared" si="14"/>
        <v>1.3919999999999999</v>
      </c>
      <c r="CA74" s="502">
        <f t="shared" si="15"/>
        <v>9455.5054171962711</v>
      </c>
      <c r="CP74" s="477" t="s">
        <v>604</v>
      </c>
      <c r="CQ74" s="482" t="s">
        <v>604</v>
      </c>
      <c r="CR74" s="413"/>
    </row>
    <row r="75" spans="2:105" ht="39" customHeight="1" x14ac:dyDescent="0.25">
      <c r="B75" s="417"/>
      <c r="C75" s="809" t="s">
        <v>399</v>
      </c>
      <c r="D75" s="809"/>
      <c r="E75" s="568">
        <v>13</v>
      </c>
      <c r="F75" s="565" t="s">
        <v>395</v>
      </c>
      <c r="G75" s="809" t="s">
        <v>391</v>
      </c>
      <c r="H75" s="809"/>
      <c r="I75" s="809"/>
      <c r="J75" s="565"/>
      <c r="K75" s="816" t="s">
        <v>392</v>
      </c>
      <c r="L75" s="816"/>
      <c r="M75" s="816"/>
      <c r="N75" s="816"/>
      <c r="O75" s="816"/>
      <c r="P75" s="816"/>
      <c r="Q75" s="816"/>
      <c r="R75" s="566"/>
      <c r="T75" s="258">
        <v>65</v>
      </c>
      <c r="U75" s="263" t="s">
        <v>598</v>
      </c>
      <c r="V75" s="484">
        <v>6274.7</v>
      </c>
      <c r="W75" s="484">
        <v>118422140.02500001</v>
      </c>
      <c r="X75" s="484">
        <v>11777168.295</v>
      </c>
      <c r="Y75" s="484">
        <v>5069.8890000000001</v>
      </c>
      <c r="Z75" s="484">
        <v>924.39800000000002</v>
      </c>
      <c r="AA75" s="484">
        <v>6938646.4929999998</v>
      </c>
      <c r="AB75" s="484">
        <v>0.86099999999999999</v>
      </c>
      <c r="AC75" s="484">
        <v>0.157</v>
      </c>
      <c r="AD75" s="484">
        <v>1178.3219999999999</v>
      </c>
      <c r="AE75" s="484">
        <v>8.5999999999999993E-2</v>
      </c>
      <c r="AF75" s="484">
        <v>8.1000000000000003E-2</v>
      </c>
      <c r="AG75" s="484">
        <v>1.6E-2</v>
      </c>
      <c r="AH75" s="484">
        <v>117.185</v>
      </c>
      <c r="AI75" s="484">
        <v>0.63200000000000001</v>
      </c>
      <c r="AJ75" s="484">
        <v>0.16</v>
      </c>
      <c r="AK75" s="484">
        <v>1129.489</v>
      </c>
      <c r="AL75" s="484">
        <v>6.7000000000000004E-2</v>
      </c>
      <c r="AM75" s="484">
        <v>1.7000000000000001E-2</v>
      </c>
      <c r="AN75" s="484">
        <v>120.553</v>
      </c>
      <c r="AO75" s="484">
        <v>0</v>
      </c>
      <c r="AP75" s="484">
        <v>318444.56300000002</v>
      </c>
      <c r="AQ75" s="484">
        <v>10425354.976</v>
      </c>
      <c r="AR75" s="484">
        <v>0</v>
      </c>
      <c r="AS75" s="484">
        <v>0</v>
      </c>
      <c r="AT75" s="484">
        <v>2.7039145160501099</v>
      </c>
      <c r="AU75" s="484">
        <v>88.521745791532595</v>
      </c>
      <c r="AV75" s="484">
        <v>0</v>
      </c>
      <c r="AW75" s="484">
        <v>99.196037641133501</v>
      </c>
      <c r="AX75" s="264">
        <v>10055.230345589624</v>
      </c>
      <c r="AY75" s="265">
        <v>10136.72580893009</v>
      </c>
      <c r="BW75" s="477" t="s">
        <v>400</v>
      </c>
      <c r="BX75" s="501">
        <f t="shared" si="12"/>
        <v>886.06100000000004</v>
      </c>
      <c r="BY75" s="501">
        <f t="shared" si="13"/>
        <v>4.2999999999999997E-2</v>
      </c>
      <c r="BZ75" s="501">
        <f t="shared" si="14"/>
        <v>0.224</v>
      </c>
      <c r="CA75" s="502">
        <f t="shared" si="15"/>
        <v>7108.4422446769977</v>
      </c>
      <c r="CP75" s="477" t="s">
        <v>606</v>
      </c>
      <c r="CQ75" s="482" t="s">
        <v>606</v>
      </c>
      <c r="CR75" s="413"/>
    </row>
    <row r="76" spans="2:105" ht="39" customHeight="1" x14ac:dyDescent="0.25">
      <c r="B76" s="417"/>
      <c r="C76" s="809" t="s">
        <v>401</v>
      </c>
      <c r="D76" s="809"/>
      <c r="E76" s="568">
        <v>140</v>
      </c>
      <c r="F76" s="565" t="s">
        <v>390</v>
      </c>
      <c r="G76" s="809" t="s">
        <v>402</v>
      </c>
      <c r="H76" s="809"/>
      <c r="I76" s="809"/>
      <c r="J76" s="565"/>
      <c r="K76" s="816" t="s">
        <v>403</v>
      </c>
      <c r="L76" s="816"/>
      <c r="M76" s="816"/>
      <c r="N76" s="816"/>
      <c r="O76" s="816"/>
      <c r="P76" s="816"/>
      <c r="Q76" s="816"/>
      <c r="R76" s="566"/>
      <c r="T76" s="262">
        <v>66</v>
      </c>
      <c r="U76" s="263" t="s">
        <v>604</v>
      </c>
      <c r="V76" s="484">
        <v>30844.400000000001</v>
      </c>
      <c r="W76" s="484">
        <v>211022137.06099999</v>
      </c>
      <c r="X76" s="484">
        <v>84093338.120000005</v>
      </c>
      <c r="Y76" s="484">
        <v>12356.763000000001</v>
      </c>
      <c r="Z76" s="484">
        <v>7905.4979999999996</v>
      </c>
      <c r="AA76" s="484">
        <v>12389521.323000001</v>
      </c>
      <c r="AB76" s="484">
        <v>0.29399999999999998</v>
      </c>
      <c r="AC76" s="484">
        <v>0.188</v>
      </c>
      <c r="AD76" s="484">
        <v>294.661</v>
      </c>
      <c r="AE76" s="484">
        <v>0.11700000000000001</v>
      </c>
      <c r="AF76" s="484">
        <v>0.109</v>
      </c>
      <c r="AG76" s="484">
        <v>7.4999999999999997E-2</v>
      </c>
      <c r="AH76" s="484">
        <v>117.42400000000001</v>
      </c>
      <c r="AI76" s="484">
        <v>0.42399999999999999</v>
      </c>
      <c r="AJ76" s="484">
        <v>0.60099999999999998</v>
      </c>
      <c r="AK76" s="484">
        <v>947.05499999999995</v>
      </c>
      <c r="AL76" s="484">
        <v>5.7000000000000002E-2</v>
      </c>
      <c r="AM76" s="484">
        <v>8.1000000000000003E-2</v>
      </c>
      <c r="AN76" s="484">
        <v>126.893</v>
      </c>
      <c r="AO76" s="484">
        <v>1770237.86</v>
      </c>
      <c r="AP76" s="484">
        <v>159964.158</v>
      </c>
      <c r="AQ76" s="484">
        <v>23313194.874000002</v>
      </c>
      <c r="AR76" s="484">
        <v>0</v>
      </c>
      <c r="AS76" s="484">
        <v>2.1050869190389601</v>
      </c>
      <c r="AT76" s="484">
        <v>0.190222152700362</v>
      </c>
      <c r="AU76" s="484">
        <v>27.7229985185513</v>
      </c>
      <c r="AV76" s="484">
        <v>0</v>
      </c>
      <c r="AW76" s="484">
        <v>32.178360031031602</v>
      </c>
      <c r="AX76" s="264">
        <v>2509.3799553999675</v>
      </c>
      <c r="AY76" s="265">
        <v>7798.346322671081</v>
      </c>
      <c r="BW76" s="477" t="s">
        <v>404</v>
      </c>
      <c r="BX76" s="501">
        <f t="shared" si="12"/>
        <v>1970.076</v>
      </c>
      <c r="BY76" s="501">
        <f t="shared" si="13"/>
        <v>2.3130000000000002</v>
      </c>
      <c r="BZ76" s="501">
        <f t="shared" si="14"/>
        <v>0.80800000000000005</v>
      </c>
      <c r="CA76" s="502">
        <f t="shared" si="15"/>
        <v>10230.434260521564</v>
      </c>
      <c r="CB76" s="484"/>
      <c r="CP76" s="477" t="s">
        <v>609</v>
      </c>
      <c r="CQ76" s="482" t="s">
        <v>609</v>
      </c>
    </row>
    <row r="77" spans="2:105" ht="39" customHeight="1" x14ac:dyDescent="0.25">
      <c r="B77" s="417"/>
      <c r="C77" s="809" t="s">
        <v>405</v>
      </c>
      <c r="D77" s="809"/>
      <c r="E77" s="564">
        <v>22300</v>
      </c>
      <c r="F77" s="565" t="s">
        <v>395</v>
      </c>
      <c r="G77" s="809" t="s">
        <v>406</v>
      </c>
      <c r="H77" s="809"/>
      <c r="I77" s="809"/>
      <c r="J77" s="565"/>
      <c r="K77" s="816" t="s">
        <v>403</v>
      </c>
      <c r="L77" s="816"/>
      <c r="M77" s="816"/>
      <c r="N77" s="816"/>
      <c r="O77" s="816"/>
      <c r="P77" s="816"/>
      <c r="Q77" s="816"/>
      <c r="R77" s="566"/>
      <c r="T77" s="258">
        <v>67</v>
      </c>
      <c r="U77" s="263" t="s">
        <v>606</v>
      </c>
      <c r="V77" s="484">
        <v>98917.2</v>
      </c>
      <c r="W77" s="484">
        <v>1438967008.865</v>
      </c>
      <c r="X77" s="484">
        <v>283222517.68199998</v>
      </c>
      <c r="Y77" s="484">
        <v>83501.751000000004</v>
      </c>
      <c r="Z77" s="484">
        <v>80873.251999999993</v>
      </c>
      <c r="AA77" s="484">
        <v>107366532.11</v>
      </c>
      <c r="AB77" s="484">
        <v>0.59</v>
      </c>
      <c r="AC77" s="484">
        <v>0.57099999999999995</v>
      </c>
      <c r="AD77" s="484">
        <v>758.178</v>
      </c>
      <c r="AE77" s="484">
        <v>0.11600000000000001</v>
      </c>
      <c r="AF77" s="484">
        <v>0.10100000000000001</v>
      </c>
      <c r="AG77" s="484">
        <v>0.112</v>
      </c>
      <c r="AH77" s="484">
        <v>149.227</v>
      </c>
      <c r="AI77" s="484">
        <v>0.877</v>
      </c>
      <c r="AJ77" s="484">
        <v>0.97199999999999998</v>
      </c>
      <c r="AK77" s="484">
        <v>1328.8019999999999</v>
      </c>
      <c r="AL77" s="484">
        <v>0.10199999999999999</v>
      </c>
      <c r="AM77" s="484">
        <v>0.113</v>
      </c>
      <c r="AN77" s="484">
        <v>154.19499999999999</v>
      </c>
      <c r="AO77" s="484">
        <v>49897428.131999999</v>
      </c>
      <c r="AP77" s="484">
        <v>704722.29700000002</v>
      </c>
      <c r="AQ77" s="484">
        <v>107690209.774</v>
      </c>
      <c r="AR77" s="484">
        <v>595561.11199999996</v>
      </c>
      <c r="AS77" s="484">
        <v>17.617747490997999</v>
      </c>
      <c r="AT77" s="484">
        <v>0.24882283405424199</v>
      </c>
      <c r="AU77" s="484">
        <v>38.023180634318003</v>
      </c>
      <c r="AV77" s="484">
        <v>0.21028028256119699</v>
      </c>
      <c r="AW77" s="484">
        <v>58.0094003451593</v>
      </c>
      <c r="AX77" s="264">
        <v>5080.6942210741199</v>
      </c>
      <c r="AY77" s="265">
        <v>8758.3980832321959</v>
      </c>
      <c r="BW77" s="477" t="s">
        <v>407</v>
      </c>
      <c r="BX77" s="501">
        <f t="shared" si="12"/>
        <v>1965.829</v>
      </c>
      <c r="BY77" s="501">
        <f t="shared" si="13"/>
        <v>1.887</v>
      </c>
      <c r="BZ77" s="501">
        <f t="shared" si="14"/>
        <v>1.762</v>
      </c>
      <c r="CA77" s="502">
        <f t="shared" si="15"/>
        <v>9929.5801768679976</v>
      </c>
      <c r="CB77" s="484"/>
      <c r="CP77" s="477" t="s">
        <v>610</v>
      </c>
      <c r="CQ77" s="482" t="s">
        <v>610</v>
      </c>
    </row>
    <row r="78" spans="2:105" ht="39" customHeight="1" x14ac:dyDescent="0.25">
      <c r="B78" s="417"/>
      <c r="C78" s="809" t="s">
        <v>408</v>
      </c>
      <c r="D78" s="809"/>
      <c r="E78" s="568">
        <v>142</v>
      </c>
      <c r="F78" s="565" t="s">
        <v>395</v>
      </c>
      <c r="G78" s="809" t="s">
        <v>409</v>
      </c>
      <c r="H78" s="809"/>
      <c r="I78" s="809"/>
      <c r="J78" s="565"/>
      <c r="K78" s="816" t="s">
        <v>403</v>
      </c>
      <c r="L78" s="816"/>
      <c r="M78" s="816"/>
      <c r="N78" s="816"/>
      <c r="O78" s="816"/>
      <c r="P78" s="816"/>
      <c r="Q78" s="816"/>
      <c r="R78" s="566"/>
      <c r="T78" s="258">
        <v>68</v>
      </c>
      <c r="U78" s="263" t="s">
        <v>609</v>
      </c>
      <c r="V78" s="484">
        <v>32930.199999999997</v>
      </c>
      <c r="W78" s="484">
        <v>682504960.26199996</v>
      </c>
      <c r="X78" s="484">
        <v>92326063.429000005</v>
      </c>
      <c r="Y78" s="484">
        <v>41784.303</v>
      </c>
      <c r="Z78" s="484">
        <v>78957.993000000002</v>
      </c>
      <c r="AA78" s="484">
        <v>58721433.774999999</v>
      </c>
      <c r="AB78" s="484">
        <v>0.90500000000000003</v>
      </c>
      <c r="AC78" s="484">
        <v>1.71</v>
      </c>
      <c r="AD78" s="484">
        <v>1272.0450000000001</v>
      </c>
      <c r="AE78" s="484">
        <v>0.122</v>
      </c>
      <c r="AF78" s="484">
        <v>0.115</v>
      </c>
      <c r="AG78" s="484">
        <v>0.23100000000000001</v>
      </c>
      <c r="AH78" s="484">
        <v>172.07599999999999</v>
      </c>
      <c r="AI78" s="484">
        <v>1.0169999999999999</v>
      </c>
      <c r="AJ78" s="484">
        <v>2.2229999999999999</v>
      </c>
      <c r="AK78" s="484">
        <v>1670.193</v>
      </c>
      <c r="AL78" s="484">
        <v>0.108</v>
      </c>
      <c r="AM78" s="484">
        <v>0.23599999999999999</v>
      </c>
      <c r="AN78" s="484">
        <v>177.58199999999999</v>
      </c>
      <c r="AO78" s="484">
        <v>38380195.509000003</v>
      </c>
      <c r="AP78" s="484">
        <v>807100.326</v>
      </c>
      <c r="AQ78" s="484">
        <v>29084085.977000002</v>
      </c>
      <c r="AR78" s="484">
        <v>1744791.6170000001</v>
      </c>
      <c r="AS78" s="484">
        <v>41.483601603211902</v>
      </c>
      <c r="AT78" s="484">
        <v>0.87236211107249895</v>
      </c>
      <c r="AU78" s="484">
        <v>31.435812654485002</v>
      </c>
      <c r="AV78" s="484">
        <v>1.8858747163828</v>
      </c>
      <c r="AW78" s="484">
        <v>77.684095583854401</v>
      </c>
      <c r="AX78" s="264">
        <v>7392.332510600927</v>
      </c>
      <c r="AY78" s="265">
        <v>9496.0495083176975</v>
      </c>
      <c r="BW78" s="477" t="s">
        <v>410</v>
      </c>
      <c r="BX78" s="501">
        <f t="shared" si="12"/>
        <v>2262.5920000000001</v>
      </c>
      <c r="BY78" s="501">
        <f t="shared" si="13"/>
        <v>0.56799999999999995</v>
      </c>
      <c r="BZ78" s="501">
        <f t="shared" si="14"/>
        <v>1.401</v>
      </c>
      <c r="CA78" s="502">
        <f t="shared" si="15"/>
        <v>11156.281246715656</v>
      </c>
      <c r="CB78" s="484"/>
      <c r="CP78" s="477" t="s">
        <v>622</v>
      </c>
      <c r="CQ78" s="482" t="s">
        <v>622</v>
      </c>
    </row>
    <row r="79" spans="2:105" ht="39" customHeight="1" x14ac:dyDescent="0.25">
      <c r="B79" s="417"/>
      <c r="C79" s="809" t="s">
        <v>411</v>
      </c>
      <c r="D79" s="809"/>
      <c r="E79" s="568">
        <v>24</v>
      </c>
      <c r="F79" s="565" t="s">
        <v>395</v>
      </c>
      <c r="G79" s="809" t="s">
        <v>412</v>
      </c>
      <c r="H79" s="809"/>
      <c r="I79" s="809"/>
      <c r="J79" s="565"/>
      <c r="K79" s="816" t="s">
        <v>403</v>
      </c>
      <c r="L79" s="816"/>
      <c r="M79" s="816"/>
      <c r="N79" s="816"/>
      <c r="O79" s="816"/>
      <c r="P79" s="816"/>
      <c r="Q79" s="816"/>
      <c r="R79" s="566"/>
      <c r="T79" s="262">
        <v>69</v>
      </c>
      <c r="U79" s="263" t="s">
        <v>610</v>
      </c>
      <c r="V79" s="484">
        <v>185858.1</v>
      </c>
      <c r="W79" s="484">
        <v>3532707666.4429998</v>
      </c>
      <c r="X79" s="484">
        <v>533500666.079</v>
      </c>
      <c r="Y79" s="484">
        <v>252108.05900000001</v>
      </c>
      <c r="Z79" s="484">
        <v>319788.20400000003</v>
      </c>
      <c r="AA79" s="484">
        <v>331687820.704</v>
      </c>
      <c r="AB79" s="484">
        <v>0.94499999999999995</v>
      </c>
      <c r="AC79" s="484">
        <v>1.1990000000000001</v>
      </c>
      <c r="AD79" s="484">
        <v>1243.4390000000001</v>
      </c>
      <c r="AE79" s="484">
        <v>0.14299999999999999</v>
      </c>
      <c r="AF79" s="484">
        <v>0.13500000000000001</v>
      </c>
      <c r="AG79" s="484">
        <v>0.18099999999999999</v>
      </c>
      <c r="AH79" s="484">
        <v>187.78100000000001</v>
      </c>
      <c r="AI79" s="484">
        <v>1.33</v>
      </c>
      <c r="AJ79" s="484">
        <v>1.774</v>
      </c>
      <c r="AK79" s="484">
        <v>1851.15</v>
      </c>
      <c r="AL79" s="484">
        <v>0.13600000000000001</v>
      </c>
      <c r="AM79" s="484">
        <v>0.182</v>
      </c>
      <c r="AN79" s="484">
        <v>189.541</v>
      </c>
      <c r="AO79" s="484">
        <v>265673932.741</v>
      </c>
      <c r="AP79" s="484">
        <v>2047709.608</v>
      </c>
      <c r="AQ79" s="484">
        <v>89082052.012999997</v>
      </c>
      <c r="AR79" s="484">
        <v>3690216.2349999999</v>
      </c>
      <c r="AS79" s="484">
        <v>49.764485177484197</v>
      </c>
      <c r="AT79" s="484">
        <v>0.38356497148122998</v>
      </c>
      <c r="AU79" s="484">
        <v>16.686328279344501</v>
      </c>
      <c r="AV79" s="484">
        <v>0.69122969360865905</v>
      </c>
      <c r="AW79" s="484">
        <v>68.229011373892504</v>
      </c>
      <c r="AX79" s="264">
        <v>6621.7493080315699</v>
      </c>
      <c r="AY79" s="265">
        <v>9698.6032431259428</v>
      </c>
      <c r="BW79" s="477" t="s">
        <v>413</v>
      </c>
      <c r="BX79" s="501">
        <f t="shared" si="12"/>
        <v>2055.81</v>
      </c>
      <c r="BY79" s="501">
        <f t="shared" si="13"/>
        <v>1.992</v>
      </c>
      <c r="BZ79" s="501">
        <f t="shared" si="14"/>
        <v>1.5069999999999999</v>
      </c>
      <c r="CA79" s="502">
        <f t="shared" si="15"/>
        <v>10349.952265421924</v>
      </c>
      <c r="CB79" s="484"/>
      <c r="CP79" s="477" t="s">
        <v>618</v>
      </c>
      <c r="CQ79" s="482" t="s">
        <v>618</v>
      </c>
    </row>
    <row r="80" spans="2:105" ht="39" customHeight="1" x14ac:dyDescent="0.25">
      <c r="B80" s="417"/>
      <c r="C80" s="809" t="s">
        <v>414</v>
      </c>
      <c r="D80" s="809"/>
      <c r="E80" s="569">
        <v>0.05</v>
      </c>
      <c r="F80" s="565" t="s">
        <v>415</v>
      </c>
      <c r="G80" s="809" t="s">
        <v>416</v>
      </c>
      <c r="H80" s="809"/>
      <c r="I80" s="809"/>
      <c r="J80" s="565"/>
      <c r="K80" s="815" t="s">
        <v>417</v>
      </c>
      <c r="L80" s="816"/>
      <c r="M80" s="816"/>
      <c r="N80" s="816"/>
      <c r="O80" s="816"/>
      <c r="P80" s="816"/>
      <c r="Q80" s="816"/>
      <c r="R80" s="566"/>
      <c r="T80" s="258">
        <v>70</v>
      </c>
      <c r="U80" s="263" t="s">
        <v>622</v>
      </c>
      <c r="V80" s="484">
        <v>23338.6</v>
      </c>
      <c r="W80" s="484">
        <v>465518924.81400001</v>
      </c>
      <c r="X80" s="484">
        <v>63912176.715999998</v>
      </c>
      <c r="Y80" s="484">
        <v>32455.043000000001</v>
      </c>
      <c r="Z80" s="484">
        <v>20372.964</v>
      </c>
      <c r="AA80" s="484">
        <v>43708529.791000001</v>
      </c>
      <c r="AB80" s="484">
        <v>1.016</v>
      </c>
      <c r="AC80" s="484">
        <v>0.63800000000000001</v>
      </c>
      <c r="AD80" s="484">
        <v>1367.768</v>
      </c>
      <c r="AE80" s="484">
        <v>0.13900000000000001</v>
      </c>
      <c r="AF80" s="484">
        <v>0.13500000000000001</v>
      </c>
      <c r="AG80" s="484">
        <v>8.7999999999999995E-2</v>
      </c>
      <c r="AH80" s="484">
        <v>187.78399999999999</v>
      </c>
      <c r="AI80" s="484">
        <v>1.395</v>
      </c>
      <c r="AJ80" s="484">
        <v>0.88900000000000001</v>
      </c>
      <c r="AK80" s="484">
        <v>1910.566</v>
      </c>
      <c r="AL80" s="484">
        <v>0.13800000000000001</v>
      </c>
      <c r="AM80" s="484">
        <v>8.7999999999999995E-2</v>
      </c>
      <c r="AN80" s="484">
        <v>188.59</v>
      </c>
      <c r="AO80" s="484">
        <v>32809028.616999999</v>
      </c>
      <c r="AP80" s="484">
        <v>6881.5439999999999</v>
      </c>
      <c r="AQ80" s="484">
        <v>12938619.522</v>
      </c>
      <c r="AR80" s="484">
        <v>0</v>
      </c>
      <c r="AS80" s="484">
        <v>51.334550454962297</v>
      </c>
      <c r="AT80" s="484">
        <v>1.076718764825E-2</v>
      </c>
      <c r="AU80" s="484">
        <v>20.244373109099399</v>
      </c>
      <c r="AV80" s="484">
        <v>0</v>
      </c>
      <c r="AW80" s="484">
        <v>71.927174171915397</v>
      </c>
      <c r="AX80" s="264">
        <v>7283.7282147747655</v>
      </c>
      <c r="AY80" s="265">
        <v>10126.53186442255</v>
      </c>
      <c r="BW80" s="477" t="s">
        <v>418</v>
      </c>
      <c r="BX80" s="501">
        <f t="shared" si="12"/>
        <v>1113.7070000000001</v>
      </c>
      <c r="BY80" s="501">
        <f t="shared" si="13"/>
        <v>0.871</v>
      </c>
      <c r="BZ80" s="501">
        <f t="shared" si="14"/>
        <v>1.0289999999999999</v>
      </c>
      <c r="CA80" s="502">
        <f t="shared" si="15"/>
        <v>7700.1004493597802</v>
      </c>
      <c r="CB80" s="484"/>
      <c r="CP80" s="477" t="s">
        <v>619</v>
      </c>
      <c r="CQ80" s="482" t="s">
        <v>619</v>
      </c>
    </row>
    <row r="81" spans="2:98" ht="39" customHeight="1" x14ac:dyDescent="0.25">
      <c r="B81" s="417"/>
      <c r="C81" s="808" t="s">
        <v>419</v>
      </c>
      <c r="D81" s="808"/>
      <c r="E81" s="567">
        <v>4.7300000000000004</v>
      </c>
      <c r="F81" s="565" t="s">
        <v>420</v>
      </c>
      <c r="G81" s="809" t="s">
        <v>421</v>
      </c>
      <c r="H81" s="809"/>
      <c r="I81" s="809"/>
      <c r="J81" s="565"/>
      <c r="K81" s="815" t="s">
        <v>422</v>
      </c>
      <c r="L81" s="816"/>
      <c r="M81" s="816"/>
      <c r="N81" s="816"/>
      <c r="O81" s="816"/>
      <c r="P81" s="816"/>
      <c r="Q81" s="816"/>
      <c r="R81" s="817"/>
      <c r="S81" s="420"/>
      <c r="T81" s="258">
        <v>71</v>
      </c>
      <c r="U81" s="263" t="s">
        <v>618</v>
      </c>
      <c r="V81" s="484">
        <v>28325.7</v>
      </c>
      <c r="W81" s="484">
        <v>473914984.366</v>
      </c>
      <c r="X81" s="484">
        <v>66741590.204999998</v>
      </c>
      <c r="Y81" s="484">
        <v>26760.077000000001</v>
      </c>
      <c r="Z81" s="484">
        <v>15319.266</v>
      </c>
      <c r="AA81" s="484">
        <v>47131234.182999998</v>
      </c>
      <c r="AB81" s="484">
        <v>0.80200000000000005</v>
      </c>
      <c r="AC81" s="484">
        <v>0.45900000000000002</v>
      </c>
      <c r="AD81" s="484">
        <v>1412.35</v>
      </c>
      <c r="AE81" s="484">
        <v>0.113</v>
      </c>
      <c r="AF81" s="484">
        <v>0.11700000000000001</v>
      </c>
      <c r="AG81" s="484">
        <v>6.5000000000000002E-2</v>
      </c>
      <c r="AH81" s="484">
        <v>198.90199999999999</v>
      </c>
      <c r="AI81" s="484">
        <v>1.1619999999999999</v>
      </c>
      <c r="AJ81" s="484">
        <v>0.68</v>
      </c>
      <c r="AK81" s="484">
        <v>2094.3890000000001</v>
      </c>
      <c r="AL81" s="484">
        <v>0.111</v>
      </c>
      <c r="AM81" s="484">
        <v>6.5000000000000002E-2</v>
      </c>
      <c r="AN81" s="484">
        <v>199.30799999999999</v>
      </c>
      <c r="AO81" s="484">
        <v>38618864.747000001</v>
      </c>
      <c r="AP81" s="484">
        <v>62175.705999999998</v>
      </c>
      <c r="AQ81" s="484">
        <v>6313925.8459999999</v>
      </c>
      <c r="AR81" s="484">
        <v>8979.1919999999991</v>
      </c>
      <c r="AS81" s="484">
        <v>57.8632670616498</v>
      </c>
      <c r="AT81" s="484">
        <v>9.3158861727133002E-2</v>
      </c>
      <c r="AU81" s="484">
        <v>9.4602567897320693</v>
      </c>
      <c r="AV81" s="484">
        <v>1.3453667996136299E-2</v>
      </c>
      <c r="AW81" s="484">
        <v>67.556666179659103</v>
      </c>
      <c r="AX81" s="264">
        <v>7100.7445718681174</v>
      </c>
      <c r="AY81" s="265">
        <v>10510.797739125423</v>
      </c>
      <c r="AZ81" s="420"/>
      <c r="BA81" s="552"/>
      <c r="BB81" s="552"/>
      <c r="BC81" s="552"/>
      <c r="BD81" s="552"/>
      <c r="BE81" s="552"/>
      <c r="BF81" s="552"/>
      <c r="BG81" s="420"/>
      <c r="BH81" s="552"/>
      <c r="BI81" s="552"/>
      <c r="BJ81" s="552"/>
      <c r="BK81" s="552"/>
      <c r="BL81" s="552"/>
      <c r="BM81" s="552"/>
      <c r="BN81" s="552"/>
      <c r="BO81" s="552"/>
      <c r="BP81" s="420"/>
      <c r="BQ81" s="420"/>
      <c r="BR81" s="420"/>
      <c r="BS81" s="420"/>
      <c r="BT81" s="420"/>
      <c r="BU81" s="420"/>
      <c r="BV81" s="420"/>
      <c r="BW81" s="531" t="s">
        <v>423</v>
      </c>
      <c r="BX81" s="532">
        <f t="shared" si="12"/>
        <v>989.178</v>
      </c>
      <c r="BY81" s="532">
        <f t="shared" si="13"/>
        <v>0.154</v>
      </c>
      <c r="BZ81" s="532">
        <f t="shared" si="14"/>
        <v>0.28299999999999997</v>
      </c>
      <c r="CA81" s="533">
        <f t="shared" si="15"/>
        <v>8420.1664111077171</v>
      </c>
      <c r="CB81" s="570"/>
      <c r="CC81" s="420"/>
      <c r="CD81" s="420"/>
      <c r="CE81" s="420"/>
      <c r="CF81" s="420"/>
      <c r="CG81" s="420"/>
      <c r="CH81" s="420"/>
      <c r="CI81" s="420"/>
      <c r="CJ81" s="420"/>
      <c r="CK81" s="420"/>
      <c r="CL81" s="420"/>
      <c r="CM81" s="420"/>
      <c r="CN81" s="420"/>
      <c r="CO81" s="420"/>
      <c r="CP81" s="477" t="s">
        <v>614</v>
      </c>
      <c r="CQ81" s="482" t="s">
        <v>614</v>
      </c>
      <c r="CR81" s="420"/>
      <c r="CS81" s="420"/>
      <c r="CT81" s="420"/>
    </row>
    <row r="82" spans="2:98" ht="39" customHeight="1" x14ac:dyDescent="0.25">
      <c r="B82" s="417"/>
      <c r="C82" s="808" t="s">
        <v>424</v>
      </c>
      <c r="D82" s="808"/>
      <c r="E82" s="567">
        <v>6.7720000000000002</v>
      </c>
      <c r="F82" s="565" t="s">
        <v>420</v>
      </c>
      <c r="G82" s="809" t="s">
        <v>425</v>
      </c>
      <c r="H82" s="809"/>
      <c r="I82" s="809"/>
      <c r="J82" s="565"/>
      <c r="K82" s="815" t="s">
        <v>422</v>
      </c>
      <c r="L82" s="816"/>
      <c r="M82" s="816"/>
      <c r="N82" s="816"/>
      <c r="O82" s="816"/>
      <c r="P82" s="816"/>
      <c r="Q82" s="816"/>
      <c r="R82" s="817"/>
      <c r="T82" s="262">
        <v>72</v>
      </c>
      <c r="U82" s="263" t="s">
        <v>619</v>
      </c>
      <c r="V82" s="484">
        <v>61022.2</v>
      </c>
      <c r="W82" s="484">
        <v>1168681128.398</v>
      </c>
      <c r="X82" s="484">
        <v>156780736.59999999</v>
      </c>
      <c r="Y82" s="484">
        <v>66645.293999999994</v>
      </c>
      <c r="Z82" s="484">
        <v>130141.537</v>
      </c>
      <c r="AA82" s="484">
        <v>97856946.560000002</v>
      </c>
      <c r="AB82" s="484">
        <v>0.85</v>
      </c>
      <c r="AC82" s="484">
        <v>1.66</v>
      </c>
      <c r="AD82" s="484">
        <v>1248.329</v>
      </c>
      <c r="AE82" s="484">
        <v>0.114</v>
      </c>
      <c r="AF82" s="484">
        <v>0.114</v>
      </c>
      <c r="AG82" s="484">
        <v>0.223</v>
      </c>
      <c r="AH82" s="484">
        <v>167.46600000000001</v>
      </c>
      <c r="AI82" s="484">
        <v>1.075</v>
      </c>
      <c r="AJ82" s="484">
        <v>2.0960000000000001</v>
      </c>
      <c r="AK82" s="484">
        <v>1605.4059999999999</v>
      </c>
      <c r="AL82" s="484">
        <v>0.113</v>
      </c>
      <c r="AM82" s="484">
        <v>0.221</v>
      </c>
      <c r="AN82" s="484">
        <v>169.14400000000001</v>
      </c>
      <c r="AO82" s="484">
        <v>54597493.328000002</v>
      </c>
      <c r="AP82" s="484">
        <v>3003411.733</v>
      </c>
      <c r="AQ82" s="484">
        <v>63740760.921999998</v>
      </c>
      <c r="AR82" s="484">
        <v>362372.68199999997</v>
      </c>
      <c r="AS82" s="484">
        <v>34.824108305028503</v>
      </c>
      <c r="AT82" s="484">
        <v>1.91567651002297</v>
      </c>
      <c r="AU82" s="484">
        <v>40.655990348448597</v>
      </c>
      <c r="AV82" s="484">
        <v>0.23113342308482701</v>
      </c>
      <c r="AW82" s="484">
        <v>79.152975760449095</v>
      </c>
      <c r="AX82" s="264">
        <v>7454.2393009652442</v>
      </c>
      <c r="AY82" s="265">
        <v>9417.5098976151894</v>
      </c>
      <c r="BW82" s="477" t="s">
        <v>426</v>
      </c>
      <c r="BX82" s="501">
        <f t="shared" si="12"/>
        <v>1901.952</v>
      </c>
      <c r="BY82" s="501">
        <f t="shared" si="13"/>
        <v>1.7070000000000001</v>
      </c>
      <c r="BZ82" s="501">
        <f t="shared" si="14"/>
        <v>0.98199999999999998</v>
      </c>
      <c r="CA82" s="502">
        <f t="shared" si="15"/>
        <v>10526.640148043851</v>
      </c>
      <c r="CP82" s="477" t="s">
        <v>613</v>
      </c>
      <c r="CQ82" s="482" t="s">
        <v>613</v>
      </c>
    </row>
    <row r="83" spans="2:98" ht="39" customHeight="1" x14ac:dyDescent="0.25">
      <c r="B83" s="417"/>
      <c r="C83" s="808" t="s">
        <v>427</v>
      </c>
      <c r="D83" s="808"/>
      <c r="E83" s="571" t="s">
        <v>428</v>
      </c>
      <c r="F83" s="571" t="s">
        <v>428</v>
      </c>
      <c r="G83" s="809" t="s">
        <v>624</v>
      </c>
      <c r="H83" s="809"/>
      <c r="I83" s="809"/>
      <c r="J83" s="565"/>
      <c r="K83" s="815" t="s">
        <v>625</v>
      </c>
      <c r="L83" s="816"/>
      <c r="M83" s="816"/>
      <c r="N83" s="816"/>
      <c r="O83" s="816"/>
      <c r="P83" s="816"/>
      <c r="Q83" s="816"/>
      <c r="R83" s="817"/>
      <c r="T83" s="258">
        <v>73</v>
      </c>
      <c r="U83" s="263" t="s">
        <v>614</v>
      </c>
      <c r="V83" s="484">
        <v>58822.1</v>
      </c>
      <c r="W83" s="484">
        <v>1045376394.0599999</v>
      </c>
      <c r="X83" s="484">
        <v>172359088.287</v>
      </c>
      <c r="Y83" s="484">
        <v>68917.790999999997</v>
      </c>
      <c r="Z83" s="484">
        <v>61393.879000000001</v>
      </c>
      <c r="AA83" s="484">
        <v>72295070.886000007</v>
      </c>
      <c r="AB83" s="484">
        <v>0.8</v>
      </c>
      <c r="AC83" s="484">
        <v>0.71199999999999997</v>
      </c>
      <c r="AD83" s="484">
        <v>838.88900000000001</v>
      </c>
      <c r="AE83" s="484">
        <v>0.13200000000000001</v>
      </c>
      <c r="AF83" s="484">
        <v>0.14199999999999999</v>
      </c>
      <c r="AG83" s="484">
        <v>0.11700000000000001</v>
      </c>
      <c r="AH83" s="484">
        <v>138.31399999999999</v>
      </c>
      <c r="AI83" s="484">
        <v>1.0589999999999999</v>
      </c>
      <c r="AJ83" s="484">
        <v>0.91300000000000003</v>
      </c>
      <c r="AK83" s="484">
        <v>1125.7760000000001</v>
      </c>
      <c r="AL83" s="484">
        <v>0.13300000000000001</v>
      </c>
      <c r="AM83" s="484">
        <v>0.115</v>
      </c>
      <c r="AN83" s="484">
        <v>141.58500000000001</v>
      </c>
      <c r="AO83" s="484">
        <v>24129336.699999999</v>
      </c>
      <c r="AP83" s="484">
        <v>1896629.0719999999</v>
      </c>
      <c r="AQ83" s="484">
        <v>101157013.09299999</v>
      </c>
      <c r="AR83" s="484">
        <v>2480343.7439999999</v>
      </c>
      <c r="AS83" s="484">
        <v>13.9994570066133</v>
      </c>
      <c r="AT83" s="484">
        <v>1.1003939926354001</v>
      </c>
      <c r="AU83" s="484">
        <v>58.689688544686497</v>
      </c>
      <c r="AV83" s="484">
        <v>1.43905595240628</v>
      </c>
      <c r="AW83" s="484">
        <v>77.401403661109001</v>
      </c>
      <c r="AX83" s="264">
        <v>6065.1074709754448</v>
      </c>
      <c r="AY83" s="265">
        <v>7835.9139811460454</v>
      </c>
      <c r="BW83" s="477" t="s">
        <v>429</v>
      </c>
      <c r="BX83" s="501">
        <f t="shared" si="12"/>
        <v>850.00599999999997</v>
      </c>
      <c r="BY83" s="501">
        <f t="shared" si="13"/>
        <v>0.20799999999999999</v>
      </c>
      <c r="BZ83" s="501">
        <f t="shared" si="14"/>
        <v>0.18099999999999999</v>
      </c>
      <c r="CA83" s="502">
        <f t="shared" si="15"/>
        <v>8554.1043938620569</v>
      </c>
      <c r="CP83" s="477" t="s">
        <v>615</v>
      </c>
      <c r="CQ83" s="482" t="s">
        <v>615</v>
      </c>
    </row>
    <row r="84" spans="2:98" ht="50.25" customHeight="1" x14ac:dyDescent="0.25">
      <c r="B84" s="417"/>
      <c r="C84" s="808" t="s">
        <v>430</v>
      </c>
      <c r="D84" s="808"/>
      <c r="E84" s="571" t="s">
        <v>428</v>
      </c>
      <c r="F84" s="571" t="s">
        <v>428</v>
      </c>
      <c r="G84" s="809" t="s">
        <v>431</v>
      </c>
      <c r="H84" s="809"/>
      <c r="I84" s="809"/>
      <c r="J84" s="565"/>
      <c r="K84" s="810" t="s">
        <v>432</v>
      </c>
      <c r="L84" s="810"/>
      <c r="M84" s="810"/>
      <c r="N84" s="810"/>
      <c r="O84" s="810"/>
      <c r="P84" s="810"/>
      <c r="Q84" s="810"/>
      <c r="R84" s="811"/>
      <c r="T84" s="258">
        <v>74</v>
      </c>
      <c r="U84" s="263" t="s">
        <v>613</v>
      </c>
      <c r="V84" s="484">
        <v>38431.800000000003</v>
      </c>
      <c r="W84" s="484">
        <v>970603254.45000005</v>
      </c>
      <c r="X84" s="484">
        <v>121294300.829</v>
      </c>
      <c r="Y84" s="484">
        <v>68820.981</v>
      </c>
      <c r="Z84" s="484">
        <v>147901.443</v>
      </c>
      <c r="AA84" s="484">
        <v>97799013.797999993</v>
      </c>
      <c r="AB84" s="484">
        <v>1.135</v>
      </c>
      <c r="AC84" s="484">
        <v>2.4390000000000001</v>
      </c>
      <c r="AD84" s="484">
        <v>1612.59</v>
      </c>
      <c r="AE84" s="484">
        <v>0.14199999999999999</v>
      </c>
      <c r="AF84" s="484">
        <v>0.13500000000000001</v>
      </c>
      <c r="AG84" s="484">
        <v>0.30499999999999999</v>
      </c>
      <c r="AH84" s="484">
        <v>201.52199999999999</v>
      </c>
      <c r="AI84" s="484">
        <v>1.403</v>
      </c>
      <c r="AJ84" s="484">
        <v>3.036</v>
      </c>
      <c r="AK84" s="484">
        <v>2017.4659999999999</v>
      </c>
      <c r="AL84" s="484">
        <v>0.14000000000000001</v>
      </c>
      <c r="AM84" s="484">
        <v>0.30399999999999999</v>
      </c>
      <c r="AN84" s="484">
        <v>201.869</v>
      </c>
      <c r="AO84" s="484">
        <v>86572611.520999998</v>
      </c>
      <c r="AP84" s="484">
        <v>96460.948000000004</v>
      </c>
      <c r="AQ84" s="484">
        <v>10058051.501</v>
      </c>
      <c r="AR84" s="484">
        <v>2927.009</v>
      </c>
      <c r="AS84" s="484">
        <v>71.374014512431302</v>
      </c>
      <c r="AT84" s="484">
        <v>7.9526364995525595E-2</v>
      </c>
      <c r="AU84" s="484">
        <v>8.2922705135794406</v>
      </c>
      <c r="AV84" s="484">
        <v>2.41314636550315E-3</v>
      </c>
      <c r="AW84" s="484">
        <v>80.126886478408295</v>
      </c>
      <c r="AX84" s="264">
        <v>8002.0516035485534</v>
      </c>
      <c r="AY84" s="265">
        <v>9986.7247912584335</v>
      </c>
      <c r="BW84" s="477" t="s">
        <v>433</v>
      </c>
      <c r="BX84" s="501">
        <f t="shared" si="12"/>
        <v>1699.0319999999999</v>
      </c>
      <c r="BY84" s="501">
        <f t="shared" si="13"/>
        <v>2.3290000000000002</v>
      </c>
      <c r="BZ84" s="501">
        <f t="shared" si="14"/>
        <v>1.1040000000000001</v>
      </c>
      <c r="CA84" s="502">
        <f t="shared" si="15"/>
        <v>9547.2589207781693</v>
      </c>
      <c r="CP84" s="477" t="s">
        <v>616</v>
      </c>
      <c r="CQ84" s="482" t="s">
        <v>616</v>
      </c>
    </row>
    <row r="85" spans="2:98" ht="79.5" customHeight="1" thickBot="1" x14ac:dyDescent="0.3">
      <c r="B85" s="559"/>
      <c r="C85" s="812" t="s">
        <v>434</v>
      </c>
      <c r="D85" s="812"/>
      <c r="E85" s="572" t="s">
        <v>428</v>
      </c>
      <c r="F85" s="572" t="s">
        <v>428</v>
      </c>
      <c r="G85" s="813" t="s">
        <v>435</v>
      </c>
      <c r="H85" s="813"/>
      <c r="I85" s="813"/>
      <c r="J85" s="573"/>
      <c r="K85" s="814" t="s">
        <v>298</v>
      </c>
      <c r="L85" s="814"/>
      <c r="M85" s="814"/>
      <c r="N85" s="814"/>
      <c r="O85" s="814"/>
      <c r="P85" s="814"/>
      <c r="Q85" s="814"/>
      <c r="R85" s="574"/>
      <c r="T85" s="262">
        <v>75</v>
      </c>
      <c r="U85" s="263" t="s">
        <v>615</v>
      </c>
      <c r="V85" s="484">
        <v>87369.9</v>
      </c>
      <c r="W85" s="484">
        <v>1840654945.9349999</v>
      </c>
      <c r="X85" s="484">
        <v>264562048.583</v>
      </c>
      <c r="Y85" s="484">
        <v>67449.06</v>
      </c>
      <c r="Z85" s="484">
        <v>49118.205000000002</v>
      </c>
      <c r="AA85" s="484">
        <v>144103497.25999999</v>
      </c>
      <c r="AB85" s="484">
        <v>0.51</v>
      </c>
      <c r="AC85" s="484">
        <v>0.371</v>
      </c>
      <c r="AD85" s="484">
        <v>1089.374</v>
      </c>
      <c r="AE85" s="484">
        <v>7.2999999999999995E-2</v>
      </c>
      <c r="AF85" s="484">
        <v>6.0999999999999999E-2</v>
      </c>
      <c r="AG85" s="484">
        <v>5.2999999999999999E-2</v>
      </c>
      <c r="AH85" s="484">
        <v>156.57900000000001</v>
      </c>
      <c r="AI85" s="484">
        <v>0.60699999999999998</v>
      </c>
      <c r="AJ85" s="484">
        <v>0.39400000000000002</v>
      </c>
      <c r="AK85" s="484">
        <v>1424.9110000000001</v>
      </c>
      <c r="AL85" s="484">
        <v>6.9000000000000006E-2</v>
      </c>
      <c r="AM85" s="484">
        <v>4.4999999999999998E-2</v>
      </c>
      <c r="AN85" s="484">
        <v>161.27799999999999</v>
      </c>
      <c r="AO85" s="484">
        <v>76495154.618000001</v>
      </c>
      <c r="AP85" s="484">
        <v>272745.89</v>
      </c>
      <c r="AQ85" s="484">
        <v>124394375.036</v>
      </c>
      <c r="AR85" s="484">
        <v>126318.162</v>
      </c>
      <c r="AS85" s="484">
        <v>28.9138804384155</v>
      </c>
      <c r="AT85" s="484">
        <v>0.103093353989686</v>
      </c>
      <c r="AU85" s="484">
        <v>47.0189792407581</v>
      </c>
      <c r="AV85" s="484">
        <v>4.7746138320883598E-2</v>
      </c>
      <c r="AW85" s="484">
        <v>79.541431152108899</v>
      </c>
      <c r="AX85" s="264">
        <v>6957.3657892112169</v>
      </c>
      <c r="AY85" s="265">
        <v>8746.8450966580331</v>
      </c>
      <c r="BW85" s="477" t="s">
        <v>436</v>
      </c>
      <c r="BX85" s="501">
        <f t="shared" si="12"/>
        <v>1853.6869999999999</v>
      </c>
      <c r="BY85" s="501">
        <f t="shared" si="13"/>
        <v>0.98699999999999999</v>
      </c>
      <c r="BZ85" s="501">
        <f t="shared" si="14"/>
        <v>1.0329999999999999</v>
      </c>
      <c r="CA85" s="502">
        <f t="shared" si="15"/>
        <v>9895.2484146254865</v>
      </c>
      <c r="CP85" s="477" t="s">
        <v>617</v>
      </c>
      <c r="CQ85" s="482" t="s">
        <v>617</v>
      </c>
    </row>
    <row r="86" spans="2:98" ht="15" customHeight="1" x14ac:dyDescent="0.25">
      <c r="K86" s="575"/>
      <c r="L86" s="575"/>
      <c r="M86" s="575"/>
      <c r="N86" s="575"/>
      <c r="O86" s="575"/>
      <c r="P86" s="575"/>
      <c r="Q86" s="575"/>
      <c r="R86" s="576"/>
      <c r="T86" s="258">
        <v>76</v>
      </c>
      <c r="U86" s="263" t="s">
        <v>616</v>
      </c>
      <c r="V86" s="484">
        <v>73445.600000000006</v>
      </c>
      <c r="W86" s="484">
        <v>1450138431.237</v>
      </c>
      <c r="X86" s="484">
        <v>222211053.32499999</v>
      </c>
      <c r="Y86" s="484">
        <v>79876.948999999993</v>
      </c>
      <c r="Z86" s="484">
        <v>111496.645</v>
      </c>
      <c r="AA86" s="484">
        <v>131708173.544</v>
      </c>
      <c r="AB86" s="484">
        <v>0.71899999999999997</v>
      </c>
      <c r="AC86" s="484">
        <v>1.004</v>
      </c>
      <c r="AD86" s="484">
        <v>1185.433</v>
      </c>
      <c r="AE86" s="484">
        <v>0.11</v>
      </c>
      <c r="AF86" s="484">
        <v>0.105</v>
      </c>
      <c r="AG86" s="484">
        <v>0.154</v>
      </c>
      <c r="AH86" s="484">
        <v>181.649</v>
      </c>
      <c r="AI86" s="484">
        <v>1.03</v>
      </c>
      <c r="AJ86" s="484">
        <v>1.46</v>
      </c>
      <c r="AK86" s="484">
        <v>1747.319</v>
      </c>
      <c r="AL86" s="484">
        <v>0.108</v>
      </c>
      <c r="AM86" s="484">
        <v>0.153</v>
      </c>
      <c r="AN86" s="484">
        <v>182.83500000000001</v>
      </c>
      <c r="AO86" s="484">
        <v>97090495.699000001</v>
      </c>
      <c r="AP86" s="484">
        <v>1339531.9110000001</v>
      </c>
      <c r="AQ86" s="484">
        <v>51931731.031999998</v>
      </c>
      <c r="AR86" s="484">
        <v>68864.956000000006</v>
      </c>
      <c r="AS86" s="484">
        <v>43.692919124800703</v>
      </c>
      <c r="AT86" s="484">
        <v>0.60281965841292495</v>
      </c>
      <c r="AU86" s="484">
        <v>23.370453592353499</v>
      </c>
      <c r="AV86" s="484">
        <v>3.0990787835394201E-2</v>
      </c>
      <c r="AW86" s="484">
        <v>68.464998911773407</v>
      </c>
      <c r="AX86" s="264">
        <v>6525.950935105222</v>
      </c>
      <c r="AY86" s="265">
        <v>9531.8061004515985</v>
      </c>
      <c r="BW86" s="477" t="s">
        <v>437</v>
      </c>
      <c r="BX86" s="501">
        <f t="shared" si="12"/>
        <v>1998.954</v>
      </c>
      <c r="BY86" s="501">
        <f t="shared" si="13"/>
        <v>2.992</v>
      </c>
      <c r="BZ86" s="501">
        <f t="shared" si="14"/>
        <v>1.7070000000000001</v>
      </c>
      <c r="CA86" s="502">
        <f t="shared" si="15"/>
        <v>9833.034821412677</v>
      </c>
      <c r="CP86" s="477" t="s">
        <v>579</v>
      </c>
      <c r="CQ86" s="482" t="s">
        <v>579</v>
      </c>
    </row>
    <row r="87" spans="2:98" ht="15" customHeight="1" x14ac:dyDescent="0.25">
      <c r="C87" s="577" t="s">
        <v>438</v>
      </c>
      <c r="D87" s="577"/>
      <c r="E87" s="443"/>
      <c r="F87" s="413"/>
      <c r="G87" s="413"/>
      <c r="H87" s="413"/>
      <c r="I87" s="413"/>
      <c r="J87" s="413"/>
      <c r="K87" s="576"/>
      <c r="L87" s="576"/>
      <c r="M87" s="576"/>
      <c r="N87" s="576"/>
      <c r="O87" s="576"/>
      <c r="P87" s="576"/>
      <c r="Q87" s="576"/>
      <c r="R87" s="576"/>
      <c r="T87" s="258">
        <v>77</v>
      </c>
      <c r="U87" s="263" t="s">
        <v>617</v>
      </c>
      <c r="V87" s="484">
        <v>113211.4</v>
      </c>
      <c r="W87" s="484">
        <v>1672349131.4100001</v>
      </c>
      <c r="X87" s="484">
        <v>324246073.99800003</v>
      </c>
      <c r="Y87" s="484">
        <v>77512.327000000005</v>
      </c>
      <c r="Z87" s="484">
        <v>55479.991000000002</v>
      </c>
      <c r="AA87" s="484">
        <v>130555267.59299999</v>
      </c>
      <c r="AB87" s="484">
        <v>0.47799999999999998</v>
      </c>
      <c r="AC87" s="484">
        <v>0.34200000000000003</v>
      </c>
      <c r="AD87" s="484">
        <v>805.28499999999997</v>
      </c>
      <c r="AE87" s="484">
        <v>9.2999999999999999E-2</v>
      </c>
      <c r="AF87" s="484">
        <v>8.8999999999999996E-2</v>
      </c>
      <c r="AG87" s="484">
        <v>6.6000000000000003E-2</v>
      </c>
      <c r="AH87" s="484">
        <v>156.13399999999999</v>
      </c>
      <c r="AI87" s="484">
        <v>0.72</v>
      </c>
      <c r="AJ87" s="484">
        <v>0.52300000000000002</v>
      </c>
      <c r="AK87" s="484">
        <v>1444.1389999999999</v>
      </c>
      <c r="AL87" s="484">
        <v>8.1000000000000003E-2</v>
      </c>
      <c r="AM87" s="484">
        <v>5.8999999999999997E-2</v>
      </c>
      <c r="AN87" s="484">
        <v>162.899</v>
      </c>
      <c r="AO87" s="484">
        <v>80637825.475999996</v>
      </c>
      <c r="AP87" s="484">
        <v>802191.30099999998</v>
      </c>
      <c r="AQ87" s="484">
        <v>95625623.255999997</v>
      </c>
      <c r="AR87" s="484">
        <v>408359.05499999999</v>
      </c>
      <c r="AS87" s="484">
        <v>24.869329793396901</v>
      </c>
      <c r="AT87" s="484">
        <v>0.24740200897283299</v>
      </c>
      <c r="AU87" s="484">
        <v>29.491682686314299</v>
      </c>
      <c r="AV87" s="484">
        <v>0.12594109467817299</v>
      </c>
      <c r="AW87" s="484">
        <v>57.6603265161922</v>
      </c>
      <c r="AX87" s="264">
        <v>5157.6542185683193</v>
      </c>
      <c r="AY87" s="265">
        <v>8944.8924949751654</v>
      </c>
      <c r="BW87" s="477" t="s">
        <v>439</v>
      </c>
      <c r="BX87" s="501">
        <f t="shared" ref="BX87:BX112" si="16">AK36</f>
        <v>1060.249</v>
      </c>
      <c r="BY87" s="501">
        <f t="shared" ref="BY87:BY112" si="17">AJ36</f>
        <v>0.129</v>
      </c>
      <c r="BZ87" s="501">
        <f t="shared" ref="BZ87:BZ112" si="18">AI36</f>
        <v>0.47399999999999998</v>
      </c>
      <c r="CA87" s="502">
        <f t="shared" ref="CA87:CA112" si="19">AY36</f>
        <v>8009.7689507687683</v>
      </c>
      <c r="CP87" s="477" t="s">
        <v>582</v>
      </c>
      <c r="CQ87" s="482" t="s">
        <v>582</v>
      </c>
    </row>
    <row r="88" spans="2:98" ht="15" customHeight="1" thickBot="1" x14ac:dyDescent="0.3">
      <c r="C88" s="413"/>
      <c r="D88" s="413"/>
      <c r="E88" s="443"/>
      <c r="F88" s="413"/>
      <c r="G88" s="413"/>
      <c r="H88" s="413"/>
      <c r="I88" s="413"/>
      <c r="J88" s="413"/>
      <c r="K88" s="576"/>
      <c r="L88" s="576"/>
      <c r="M88" s="576"/>
      <c r="N88" s="576"/>
      <c r="O88" s="576"/>
      <c r="P88" s="576"/>
      <c r="Q88" s="576"/>
      <c r="R88" s="576"/>
      <c r="T88" s="262">
        <v>78</v>
      </c>
      <c r="U88" s="263" t="s">
        <v>579</v>
      </c>
      <c r="V88" s="484">
        <v>3379.6</v>
      </c>
      <c r="W88" s="484">
        <v>42502215.627999999</v>
      </c>
      <c r="X88" s="484">
        <v>6232862.5120000001</v>
      </c>
      <c r="Y88" s="484">
        <v>20923.633999999998</v>
      </c>
      <c r="Z88" s="484">
        <v>1741.0889999999999</v>
      </c>
      <c r="AA88" s="484">
        <v>2928528.764</v>
      </c>
      <c r="AB88" s="484">
        <v>6.7140000000000004</v>
      </c>
      <c r="AC88" s="484">
        <v>0.55900000000000005</v>
      </c>
      <c r="AD88" s="484">
        <v>939.70600000000002</v>
      </c>
      <c r="AE88" s="484">
        <v>0.98499999999999999</v>
      </c>
      <c r="AF88" s="484">
        <v>0.96099999999999997</v>
      </c>
      <c r="AG88" s="484">
        <v>8.2000000000000003E-2</v>
      </c>
      <c r="AH88" s="484">
        <v>137.80600000000001</v>
      </c>
      <c r="AI88" s="484">
        <v>9.2379999999999995</v>
      </c>
      <c r="AJ88" s="484">
        <v>0.77500000000000002</v>
      </c>
      <c r="AK88" s="484">
        <v>1310.998</v>
      </c>
      <c r="AL88" s="484">
        <v>0.98</v>
      </c>
      <c r="AM88" s="484">
        <v>8.2000000000000003E-2</v>
      </c>
      <c r="AN88" s="484">
        <v>139.11600000000001</v>
      </c>
      <c r="AO88" s="484">
        <v>594138.93299999996</v>
      </c>
      <c r="AP88" s="484">
        <v>826059.647</v>
      </c>
      <c r="AQ88" s="484">
        <v>3040487.3029999998</v>
      </c>
      <c r="AR88" s="484">
        <v>0</v>
      </c>
      <c r="AS88" s="484">
        <v>9.5287037945671091</v>
      </c>
      <c r="AT88" s="484">
        <v>13.2482105711589</v>
      </c>
      <c r="AU88" s="484">
        <v>48.762841975597702</v>
      </c>
      <c r="AV88" s="484">
        <v>0</v>
      </c>
      <c r="AW88" s="484">
        <v>72.191287500819499</v>
      </c>
      <c r="AX88" s="264">
        <v>6819.0523288731893</v>
      </c>
      <c r="AY88" s="265">
        <v>9442.187012653385</v>
      </c>
      <c r="BW88" s="477" t="s">
        <v>440</v>
      </c>
      <c r="BX88" s="501">
        <f t="shared" si="16"/>
        <v>2284.625</v>
      </c>
      <c r="BY88" s="501">
        <f t="shared" si="17"/>
        <v>1.8660000000000001</v>
      </c>
      <c r="BZ88" s="501">
        <f t="shared" si="18"/>
        <v>2.0489999999999999</v>
      </c>
      <c r="CA88" s="502">
        <f t="shared" si="19"/>
        <v>10796.44255200226</v>
      </c>
      <c r="CP88" s="477" t="s">
        <v>585</v>
      </c>
      <c r="CQ88" s="482" t="s">
        <v>585</v>
      </c>
    </row>
    <row r="89" spans="2:98" ht="15" customHeight="1" thickBot="1" x14ac:dyDescent="0.3">
      <c r="C89" s="578" t="s">
        <v>268</v>
      </c>
      <c r="D89" s="579"/>
      <c r="E89" s="580" t="s">
        <v>251</v>
      </c>
      <c r="F89" s="581" t="s">
        <v>252</v>
      </c>
      <c r="G89" s="413"/>
      <c r="H89" s="413"/>
      <c r="I89" s="413"/>
      <c r="J89" s="413"/>
      <c r="K89" s="576"/>
      <c r="L89" s="576"/>
      <c r="M89" s="576"/>
      <c r="N89" s="576"/>
      <c r="O89" s="576"/>
      <c r="P89" s="576"/>
      <c r="Q89" s="576"/>
      <c r="R89" s="575"/>
      <c r="T89" s="258">
        <v>79</v>
      </c>
      <c r="U89" s="263" t="s">
        <v>582</v>
      </c>
      <c r="V89" s="484">
        <v>97820.3</v>
      </c>
      <c r="W89" s="484">
        <v>1665956580.8150001</v>
      </c>
      <c r="X89" s="484">
        <v>229407929.06</v>
      </c>
      <c r="Y89" s="484">
        <v>61022.224999999999</v>
      </c>
      <c r="Z89" s="484">
        <v>42714.18</v>
      </c>
      <c r="AA89" s="484">
        <v>116043999.116</v>
      </c>
      <c r="AB89" s="484">
        <v>0.53200000000000003</v>
      </c>
      <c r="AC89" s="484">
        <v>0.372</v>
      </c>
      <c r="AD89" s="484">
        <v>1011.683</v>
      </c>
      <c r="AE89" s="484">
        <v>7.2999999999999995E-2</v>
      </c>
      <c r="AF89" s="484">
        <v>7.2999999999999995E-2</v>
      </c>
      <c r="AG89" s="484">
        <v>5.0999999999999997E-2</v>
      </c>
      <c r="AH89" s="484">
        <v>139.31200000000001</v>
      </c>
      <c r="AI89" s="484">
        <v>0.52900000000000003</v>
      </c>
      <c r="AJ89" s="484">
        <v>0.42499999999999999</v>
      </c>
      <c r="AK89" s="484">
        <v>1183.5239999999999</v>
      </c>
      <c r="AL89" s="484">
        <v>6.4000000000000001E-2</v>
      </c>
      <c r="AM89" s="484">
        <v>5.1999999999999998E-2</v>
      </c>
      <c r="AN89" s="484">
        <v>143.661</v>
      </c>
      <c r="AO89" s="484">
        <v>36790857.618000001</v>
      </c>
      <c r="AP89" s="484">
        <v>2814817.3309999998</v>
      </c>
      <c r="AQ89" s="484">
        <v>152730470.89500001</v>
      </c>
      <c r="AR89" s="484">
        <v>19074.169999999998</v>
      </c>
      <c r="AS89" s="484">
        <v>16.037308649209798</v>
      </c>
      <c r="AT89" s="484">
        <v>1.22699217281377</v>
      </c>
      <c r="AU89" s="484">
        <v>66.575933817968306</v>
      </c>
      <c r="AV89" s="484">
        <v>8.3145208163844502E-3</v>
      </c>
      <c r="AW89" s="484">
        <v>87.026758775463193</v>
      </c>
      <c r="AX89" s="264">
        <v>7261.9834355388866</v>
      </c>
      <c r="AY89" s="265">
        <v>8344.5408560102642</v>
      </c>
      <c r="BW89" s="477" t="s">
        <v>441</v>
      </c>
      <c r="BX89" s="501">
        <f t="shared" si="16"/>
        <v>1462.692</v>
      </c>
      <c r="BY89" s="501">
        <f t="shared" si="17"/>
        <v>0.61</v>
      </c>
      <c r="BZ89" s="501">
        <f t="shared" si="18"/>
        <v>0.83599999999999997</v>
      </c>
      <c r="CA89" s="502">
        <f t="shared" si="19"/>
        <v>8787.8421914977444</v>
      </c>
      <c r="CP89" s="477" t="s">
        <v>588</v>
      </c>
      <c r="CQ89" s="482" t="s">
        <v>588</v>
      </c>
    </row>
    <row r="90" spans="2:98" ht="15" customHeight="1" x14ac:dyDescent="0.25">
      <c r="C90" s="582" t="s">
        <v>254</v>
      </c>
      <c r="D90" s="413"/>
      <c r="E90" s="443" t="str">
        <f>E24</f>
        <v>US Average</v>
      </c>
      <c r="F90" s="583"/>
      <c r="K90" s="575"/>
      <c r="L90" s="575"/>
      <c r="M90" s="575"/>
      <c r="N90" s="575"/>
      <c r="O90" s="575"/>
      <c r="P90" s="575"/>
      <c r="Q90" s="575"/>
      <c r="R90" s="575"/>
      <c r="T90" s="258">
        <v>80</v>
      </c>
      <c r="U90" s="263" t="s">
        <v>585</v>
      </c>
      <c r="V90" s="484">
        <v>3222</v>
      </c>
      <c r="W90" s="484">
        <v>92598221.116999999</v>
      </c>
      <c r="X90" s="484">
        <v>9948844.6669999994</v>
      </c>
      <c r="Y90" s="484">
        <v>22344.850999999999</v>
      </c>
      <c r="Z90" s="484">
        <v>37331.597999999998</v>
      </c>
      <c r="AA90" s="484">
        <v>7571577.4780000001</v>
      </c>
      <c r="AB90" s="484">
        <v>4.492</v>
      </c>
      <c r="AC90" s="484">
        <v>7.5049999999999999</v>
      </c>
      <c r="AD90" s="484">
        <v>1522.1020000000001</v>
      </c>
      <c r="AE90" s="484">
        <v>0.48299999999999998</v>
      </c>
      <c r="AF90" s="484">
        <v>0.46100000000000002</v>
      </c>
      <c r="AG90" s="484">
        <v>0.80600000000000005</v>
      </c>
      <c r="AH90" s="484">
        <v>163.536</v>
      </c>
      <c r="AI90" s="484">
        <v>5.0839999999999996</v>
      </c>
      <c r="AJ90" s="484">
        <v>8.9049999999999994</v>
      </c>
      <c r="AK90" s="484">
        <v>1721.9570000000001</v>
      </c>
      <c r="AL90" s="484">
        <v>0.50900000000000001</v>
      </c>
      <c r="AM90" s="484">
        <v>0.89100000000000001</v>
      </c>
      <c r="AN90" s="484">
        <v>172.262</v>
      </c>
      <c r="AO90" s="484">
        <v>1497379.514</v>
      </c>
      <c r="AP90" s="484">
        <v>6640316.0959999999</v>
      </c>
      <c r="AQ90" s="484">
        <v>0</v>
      </c>
      <c r="AR90" s="484">
        <v>63380.048000000003</v>
      </c>
      <c r="AS90" s="484">
        <v>15.050787367524601</v>
      </c>
      <c r="AT90" s="484">
        <v>66.744592589669494</v>
      </c>
      <c r="AU90" s="484">
        <v>0</v>
      </c>
      <c r="AV90" s="484">
        <v>0.63705935393978197</v>
      </c>
      <c r="AW90" s="484">
        <v>89.158651938196599</v>
      </c>
      <c r="AX90" s="264">
        <v>9307.4346033510137</v>
      </c>
      <c r="AY90" s="265">
        <v>10439.18233700428</v>
      </c>
      <c r="BW90" s="477" t="s">
        <v>442</v>
      </c>
      <c r="BX90" s="501">
        <f t="shared" si="16"/>
        <v>2271.5259999999998</v>
      </c>
      <c r="BY90" s="501">
        <f t="shared" si="17"/>
        <v>3.2679999999999998</v>
      </c>
      <c r="BZ90" s="501">
        <f t="shared" si="18"/>
        <v>2.7029999999999998</v>
      </c>
      <c r="CA90" s="502">
        <f t="shared" si="19"/>
        <v>10616.277920023123</v>
      </c>
      <c r="CP90" s="477" t="s">
        <v>591</v>
      </c>
      <c r="CQ90" s="482" t="s">
        <v>591</v>
      </c>
    </row>
    <row r="91" spans="2:98" ht="15" customHeight="1" thickBot="1" x14ac:dyDescent="0.3">
      <c r="C91" s="584" t="s">
        <v>254</v>
      </c>
      <c r="D91" s="585"/>
      <c r="E91" s="586" t="str">
        <f>E21</f>
        <v>US Average Fossil</v>
      </c>
      <c r="F91" s="587"/>
      <c r="K91" s="575"/>
      <c r="L91" s="575"/>
      <c r="M91" s="575"/>
      <c r="N91" s="575"/>
      <c r="O91" s="575"/>
      <c r="P91" s="575"/>
      <c r="Q91" s="575"/>
      <c r="R91" s="575"/>
      <c r="T91" s="262">
        <v>81</v>
      </c>
      <c r="U91" s="263" t="s">
        <v>588</v>
      </c>
      <c r="V91" s="484">
        <v>82125.5</v>
      </c>
      <c r="W91" s="484">
        <v>1388890444.2479999</v>
      </c>
      <c r="X91" s="484">
        <v>222684937.84</v>
      </c>
      <c r="Y91" s="484">
        <v>114754.83199999999</v>
      </c>
      <c r="Z91" s="484">
        <v>158524.38800000001</v>
      </c>
      <c r="AA91" s="484">
        <v>135918531.63699999</v>
      </c>
      <c r="AB91" s="484">
        <v>1.0309999999999999</v>
      </c>
      <c r="AC91" s="484">
        <v>1.4239999999999999</v>
      </c>
      <c r="AD91" s="484">
        <v>1220.7249999999999</v>
      </c>
      <c r="AE91" s="484">
        <v>0.16500000000000001</v>
      </c>
      <c r="AF91" s="484">
        <v>0.156</v>
      </c>
      <c r="AG91" s="484">
        <v>0.22800000000000001</v>
      </c>
      <c r="AH91" s="484">
        <v>195.72200000000001</v>
      </c>
      <c r="AI91" s="484">
        <v>1.5860000000000001</v>
      </c>
      <c r="AJ91" s="484">
        <v>2.33</v>
      </c>
      <c r="AK91" s="484">
        <v>2021.001</v>
      </c>
      <c r="AL91" s="484">
        <v>0.158</v>
      </c>
      <c r="AM91" s="484">
        <v>0.23200000000000001</v>
      </c>
      <c r="AN91" s="484">
        <v>200.86099999999999</v>
      </c>
      <c r="AO91" s="484">
        <v>114629707.608</v>
      </c>
      <c r="AP91" s="484">
        <v>473530.83799999999</v>
      </c>
      <c r="AQ91" s="484">
        <v>18765614.811000001</v>
      </c>
      <c r="AR91" s="484">
        <v>82668.27</v>
      </c>
      <c r="AS91" s="484">
        <v>51.476183980706303</v>
      </c>
      <c r="AT91" s="484">
        <v>0.21264610235928799</v>
      </c>
      <c r="AU91" s="484">
        <v>8.4269798874954702</v>
      </c>
      <c r="AV91" s="484">
        <v>3.71234225811609E-2</v>
      </c>
      <c r="AW91" s="484">
        <v>62.137687089798099</v>
      </c>
      <c r="AX91" s="264">
        <v>6237.0201492744118</v>
      </c>
      <c r="AY91" s="265">
        <v>10037.419284538408</v>
      </c>
      <c r="BW91" s="477" t="s">
        <v>443</v>
      </c>
      <c r="BX91" s="501">
        <f t="shared" si="16"/>
        <v>2122.9810000000002</v>
      </c>
      <c r="BY91" s="501">
        <f t="shared" si="17"/>
        <v>4.5910000000000002</v>
      </c>
      <c r="BZ91" s="501">
        <f t="shared" si="18"/>
        <v>1.8</v>
      </c>
      <c r="CA91" s="502">
        <f t="shared" si="19"/>
        <v>10257.105774687478</v>
      </c>
      <c r="CP91" s="477" t="s">
        <v>593</v>
      </c>
      <c r="CQ91" s="482" t="s">
        <v>593</v>
      </c>
    </row>
    <row r="92" spans="2:98" ht="15" customHeight="1" x14ac:dyDescent="0.25">
      <c r="C92" s="588" t="s">
        <v>278</v>
      </c>
      <c r="D92" s="589"/>
      <c r="E92" s="590">
        <f>E13/(1-$E$80)</f>
        <v>8631578.9473684207</v>
      </c>
      <c r="F92" s="591" t="s">
        <v>444</v>
      </c>
      <c r="G92" s="590">
        <f>G13/(1-$E$80)</f>
        <v>0</v>
      </c>
      <c r="H92" s="591"/>
      <c r="I92" s="590">
        <f>I13/(1-$E$80)</f>
        <v>0</v>
      </c>
      <c r="J92" s="591"/>
      <c r="K92" s="592">
        <f>K13/(1-$E$80)</f>
        <v>0</v>
      </c>
      <c r="L92" s="593"/>
      <c r="M92" s="592">
        <f>M13/(1-$E$80)</f>
        <v>0</v>
      </c>
      <c r="N92" s="593"/>
      <c r="O92" s="592">
        <f>O13/(1-$E$80)</f>
        <v>0</v>
      </c>
      <c r="P92" s="593"/>
      <c r="Q92" s="594">
        <f>Q13/(1-$E$80)</f>
        <v>0</v>
      </c>
      <c r="R92" s="575"/>
      <c r="T92" s="258">
        <v>82</v>
      </c>
      <c r="U92" s="263" t="s">
        <v>591</v>
      </c>
      <c r="V92" s="484">
        <v>313.5</v>
      </c>
      <c r="W92" s="484">
        <v>50865</v>
      </c>
      <c r="X92" s="484">
        <v>102170.999</v>
      </c>
      <c r="Y92" s="484">
        <v>84.501000000000005</v>
      </c>
      <c r="Z92" s="484">
        <v>7.3760000000000003</v>
      </c>
      <c r="AA92" s="484">
        <v>4153.78</v>
      </c>
      <c r="AB92" s="484">
        <v>1.6539999999999999</v>
      </c>
      <c r="AC92" s="484">
        <v>0.14399999999999999</v>
      </c>
      <c r="AD92" s="484">
        <v>81.31</v>
      </c>
      <c r="AE92" s="484">
        <v>3.323</v>
      </c>
      <c r="AF92" s="484">
        <v>3.323</v>
      </c>
      <c r="AG92" s="484">
        <v>0.28999999999999998</v>
      </c>
      <c r="AH92" s="484">
        <v>163.32599999999999</v>
      </c>
      <c r="AI92" s="484">
        <v>32.069000000000003</v>
      </c>
      <c r="AJ92" s="484">
        <v>2.7989999999999999</v>
      </c>
      <c r="AK92" s="484">
        <v>1576.3869999999999</v>
      </c>
      <c r="AL92" s="484">
        <v>3.323</v>
      </c>
      <c r="AM92" s="484">
        <v>0.28999999999999998</v>
      </c>
      <c r="AN92" s="484">
        <v>163.32599999999999</v>
      </c>
      <c r="AO92" s="484">
        <v>0</v>
      </c>
      <c r="AP92" s="484">
        <v>5270</v>
      </c>
      <c r="AQ92" s="484">
        <v>0</v>
      </c>
      <c r="AR92" s="484">
        <v>0</v>
      </c>
      <c r="AS92" s="484">
        <v>0</v>
      </c>
      <c r="AT92" s="484">
        <v>5.15801939885095</v>
      </c>
      <c r="AU92" s="484">
        <v>0</v>
      </c>
      <c r="AV92" s="484">
        <v>0</v>
      </c>
      <c r="AW92" s="484">
        <v>5.15801939885095</v>
      </c>
      <c r="AX92" s="264">
        <v>497.84185823611261</v>
      </c>
      <c r="AY92" s="265">
        <v>9651.8026565464916</v>
      </c>
      <c r="BW92" s="477" t="s">
        <v>445</v>
      </c>
      <c r="BX92" s="501">
        <f t="shared" si="16"/>
        <v>965.00599999999997</v>
      </c>
      <c r="BY92" s="501">
        <f t="shared" si="17"/>
        <v>0.121</v>
      </c>
      <c r="BZ92" s="501">
        <f t="shared" si="18"/>
        <v>0.315</v>
      </c>
      <c r="CA92" s="502">
        <f t="shared" si="19"/>
        <v>9813.8458527172716</v>
      </c>
      <c r="CP92" s="477" t="s">
        <v>595</v>
      </c>
      <c r="CQ92" s="482" t="s">
        <v>595</v>
      </c>
    </row>
    <row r="93" spans="2:98" ht="15" customHeight="1" x14ac:dyDescent="0.25">
      <c r="C93" s="595" t="s">
        <v>283</v>
      </c>
      <c r="D93" s="596"/>
      <c r="E93" s="476">
        <f>E15</f>
        <v>0</v>
      </c>
      <c r="F93" s="413" t="s">
        <v>446</v>
      </c>
      <c r="G93" s="476">
        <f>G15</f>
        <v>36086.477093206944</v>
      </c>
      <c r="H93" s="413"/>
      <c r="I93" s="476">
        <f>I15</f>
        <v>57048.532894736847</v>
      </c>
      <c r="J93" s="413"/>
      <c r="K93" s="597">
        <f>K15</f>
        <v>55890.265587167072</v>
      </c>
      <c r="L93" s="576"/>
      <c r="M93" s="597">
        <f>M15</f>
        <v>33210.000000000007</v>
      </c>
      <c r="N93" s="576"/>
      <c r="O93" s="597">
        <f>O15</f>
        <v>0</v>
      </c>
      <c r="P93" s="576"/>
      <c r="Q93" s="598">
        <f>Q15</f>
        <v>0</v>
      </c>
      <c r="R93" s="575"/>
      <c r="T93" s="258">
        <v>83</v>
      </c>
      <c r="U93" s="263" t="s">
        <v>593</v>
      </c>
      <c r="V93" s="484">
        <v>97261.399999999907</v>
      </c>
      <c r="W93" s="484">
        <v>1085984479.6930001</v>
      </c>
      <c r="X93" s="484">
        <v>241854386.09299999</v>
      </c>
      <c r="Y93" s="484">
        <v>44058.224000000002</v>
      </c>
      <c r="Z93" s="484">
        <v>15936.911</v>
      </c>
      <c r="AA93" s="484">
        <v>61176490.517999999</v>
      </c>
      <c r="AB93" s="484">
        <v>0.36399999999999999</v>
      </c>
      <c r="AC93" s="484">
        <v>0.13200000000000001</v>
      </c>
      <c r="AD93" s="484">
        <v>505.89499999999998</v>
      </c>
      <c r="AE93" s="484">
        <v>8.1000000000000003E-2</v>
      </c>
      <c r="AF93" s="484">
        <v>7.5999999999999998E-2</v>
      </c>
      <c r="AG93" s="484">
        <v>2.9000000000000001E-2</v>
      </c>
      <c r="AH93" s="484">
        <v>112.66500000000001</v>
      </c>
      <c r="AI93" s="484">
        <v>0.36299999999999999</v>
      </c>
      <c r="AJ93" s="484">
        <v>0.20200000000000001</v>
      </c>
      <c r="AK93" s="484">
        <v>967.84100000000001</v>
      </c>
      <c r="AL93" s="484">
        <v>4.5999999999999999E-2</v>
      </c>
      <c r="AM93" s="484">
        <v>2.5999999999999999E-2</v>
      </c>
      <c r="AN93" s="484">
        <v>123.435</v>
      </c>
      <c r="AO93" s="484">
        <v>4314380.1780000003</v>
      </c>
      <c r="AP93" s="484">
        <v>1332385.058</v>
      </c>
      <c r="AQ93" s="484">
        <v>110094164.068</v>
      </c>
      <c r="AR93" s="484">
        <v>149107.77799999999</v>
      </c>
      <c r="AS93" s="484">
        <v>1.78387512043981</v>
      </c>
      <c r="AT93" s="484">
        <v>0.55090382807056104</v>
      </c>
      <c r="AU93" s="484">
        <v>45.520847047272703</v>
      </c>
      <c r="AV93" s="484">
        <v>6.1651881490324599E-2</v>
      </c>
      <c r="AW93" s="484">
        <v>52.911660069424002</v>
      </c>
      <c r="AX93" s="264">
        <v>4490.2409968095744</v>
      </c>
      <c r="AY93" s="265">
        <v>8486.2977950127133</v>
      </c>
      <c r="BW93" s="477" t="s">
        <v>447</v>
      </c>
      <c r="BX93" s="501">
        <f t="shared" si="16"/>
        <v>914.08600000000001</v>
      </c>
      <c r="BY93" s="501">
        <f t="shared" si="17"/>
        <v>5.8999999999999997E-2</v>
      </c>
      <c r="BZ93" s="501">
        <f t="shared" si="18"/>
        <v>0.22700000000000001</v>
      </c>
      <c r="CA93" s="502">
        <f t="shared" si="19"/>
        <v>7675.5547698229748</v>
      </c>
      <c r="CP93" s="477" t="s">
        <v>597</v>
      </c>
      <c r="CQ93" s="482" t="s">
        <v>597</v>
      </c>
    </row>
    <row r="94" spans="2:98" ht="15" customHeight="1" x14ac:dyDescent="0.25">
      <c r="C94" s="582" t="s">
        <v>448</v>
      </c>
      <c r="D94" s="413"/>
      <c r="E94" s="476">
        <f>E17</f>
        <v>0</v>
      </c>
      <c r="F94" s="413" t="s">
        <v>449</v>
      </c>
      <c r="G94" s="476">
        <f>G17</f>
        <v>0</v>
      </c>
      <c r="H94" s="413"/>
      <c r="I94" s="476">
        <f>I17</f>
        <v>0</v>
      </c>
      <c r="J94" s="413"/>
      <c r="K94" s="597">
        <f>K17</f>
        <v>0</v>
      </c>
      <c r="L94" s="576"/>
      <c r="M94" s="597">
        <f>M17</f>
        <v>0</v>
      </c>
      <c r="N94" s="576"/>
      <c r="O94" s="597">
        <f>O17</f>
        <v>0</v>
      </c>
      <c r="P94" s="576"/>
      <c r="Q94" s="598">
        <f>Q17</f>
        <v>0</v>
      </c>
      <c r="R94" s="575"/>
      <c r="T94" s="262">
        <v>84</v>
      </c>
      <c r="U94" s="263" t="s">
        <v>595</v>
      </c>
      <c r="V94" s="484">
        <v>322697.40000000002</v>
      </c>
      <c r="W94" s="484">
        <v>5794829249.2290001</v>
      </c>
      <c r="X94" s="484">
        <v>923709999.19500005</v>
      </c>
      <c r="Y94" s="484">
        <v>381083.16700000002</v>
      </c>
      <c r="Z94" s="484">
        <v>482630.81900000002</v>
      </c>
      <c r="AA94" s="484">
        <v>510088974.22799999</v>
      </c>
      <c r="AB94" s="484">
        <v>0.82499999999999996</v>
      </c>
      <c r="AC94" s="484">
        <v>1.0449999999999999</v>
      </c>
      <c r="AD94" s="484">
        <v>1104.4349999999999</v>
      </c>
      <c r="AE94" s="484">
        <v>0.13200000000000001</v>
      </c>
      <c r="AF94" s="484">
        <v>0.122</v>
      </c>
      <c r="AG94" s="484">
        <v>0.16700000000000001</v>
      </c>
      <c r="AH94" s="484">
        <v>176.05</v>
      </c>
      <c r="AI94" s="484">
        <v>1.153</v>
      </c>
      <c r="AJ94" s="484">
        <v>1.5820000000000001</v>
      </c>
      <c r="AK94" s="484">
        <v>1687.8869999999999</v>
      </c>
      <c r="AL94" s="484">
        <v>0.123</v>
      </c>
      <c r="AM94" s="484">
        <v>0.16800000000000001</v>
      </c>
      <c r="AN94" s="484">
        <v>179.48500000000001</v>
      </c>
      <c r="AO94" s="484">
        <v>363193124.57499999</v>
      </c>
      <c r="AP94" s="484">
        <v>3597455.5559999999</v>
      </c>
      <c r="AQ94" s="484">
        <v>231761882.088</v>
      </c>
      <c r="AR94" s="484">
        <v>6028251.2980000004</v>
      </c>
      <c r="AS94" s="484">
        <v>39.303558933143798</v>
      </c>
      <c r="AT94" s="484">
        <v>0.389304744191031</v>
      </c>
      <c r="AU94" s="484">
        <v>25.0805044885177</v>
      </c>
      <c r="AV94" s="484">
        <v>0.65235742122595397</v>
      </c>
      <c r="AW94" s="484">
        <v>66.629827022801194</v>
      </c>
      <c r="AX94" s="264">
        <v>6273.4291652998345</v>
      </c>
      <c r="AY94" s="265">
        <v>9411.6597177154745</v>
      </c>
      <c r="BW94" s="477" t="s">
        <v>450</v>
      </c>
      <c r="BX94" s="501">
        <f t="shared" si="16"/>
        <v>1823.7929999999999</v>
      </c>
      <c r="BY94" s="501">
        <f t="shared" si="17"/>
        <v>0.58199999999999996</v>
      </c>
      <c r="BZ94" s="501">
        <f t="shared" si="18"/>
        <v>2.7280000000000002</v>
      </c>
      <c r="CA94" s="502">
        <f t="shared" si="19"/>
        <v>10080.426300194962</v>
      </c>
      <c r="CP94" s="477" t="s">
        <v>599</v>
      </c>
      <c r="CQ94" s="482" t="s">
        <v>599</v>
      </c>
    </row>
    <row r="95" spans="2:98" ht="15" customHeight="1" thickBot="1" x14ac:dyDescent="0.3">
      <c r="B95" s="413"/>
      <c r="C95" s="584" t="s">
        <v>451</v>
      </c>
      <c r="D95" s="585"/>
      <c r="E95" s="599">
        <f>E19</f>
        <v>0</v>
      </c>
      <c r="F95" s="585" t="s">
        <v>449</v>
      </c>
      <c r="G95" s="599">
        <f>G19</f>
        <v>0</v>
      </c>
      <c r="H95" s="585"/>
      <c r="I95" s="599">
        <f>I19</f>
        <v>0</v>
      </c>
      <c r="J95" s="585"/>
      <c r="K95" s="600">
        <f>K19</f>
        <v>0</v>
      </c>
      <c r="L95" s="601"/>
      <c r="M95" s="600">
        <f>M19</f>
        <v>0</v>
      </c>
      <c r="N95" s="601"/>
      <c r="O95" s="600">
        <f>O19</f>
        <v>0</v>
      </c>
      <c r="P95" s="601"/>
      <c r="Q95" s="602">
        <f>Q19</f>
        <v>0</v>
      </c>
      <c r="R95" s="575"/>
      <c r="T95" s="258">
        <v>85</v>
      </c>
      <c r="U95" s="263" t="s">
        <v>597</v>
      </c>
      <c r="V95" s="484">
        <v>368670.4</v>
      </c>
      <c r="W95" s="484">
        <v>6884052706.6370001</v>
      </c>
      <c r="X95" s="484">
        <v>1095680923.1070001</v>
      </c>
      <c r="Y95" s="484">
        <v>358316.23800000001</v>
      </c>
      <c r="Z95" s="484">
        <v>421711.10700000002</v>
      </c>
      <c r="AA95" s="484">
        <v>567033244.65600002</v>
      </c>
      <c r="AB95" s="484">
        <v>0.65400000000000003</v>
      </c>
      <c r="AC95" s="484">
        <v>0.77</v>
      </c>
      <c r="AD95" s="484">
        <v>1035.0340000000001</v>
      </c>
      <c r="AE95" s="484">
        <v>0.104</v>
      </c>
      <c r="AF95" s="484">
        <v>9.9000000000000005E-2</v>
      </c>
      <c r="AG95" s="484">
        <v>0.123</v>
      </c>
      <c r="AH95" s="484">
        <v>164.738</v>
      </c>
      <c r="AI95" s="484">
        <v>0.89500000000000002</v>
      </c>
      <c r="AJ95" s="484">
        <v>1.0669999999999999</v>
      </c>
      <c r="AK95" s="484">
        <v>1511.17</v>
      </c>
      <c r="AL95" s="484">
        <v>0.1</v>
      </c>
      <c r="AM95" s="484">
        <v>0.11899999999999999</v>
      </c>
      <c r="AN95" s="484">
        <v>168.57900000000001</v>
      </c>
      <c r="AO95" s="484">
        <v>355914523.91399997</v>
      </c>
      <c r="AP95" s="484">
        <v>4389257.38</v>
      </c>
      <c r="AQ95" s="484">
        <v>384078635.403</v>
      </c>
      <c r="AR95" s="484">
        <v>3078868.0750000002</v>
      </c>
      <c r="AS95" s="484">
        <v>32.483409718996398</v>
      </c>
      <c r="AT95" s="484">
        <v>0.40059631247619398</v>
      </c>
      <c r="AU95" s="484">
        <v>35.053876253511199</v>
      </c>
      <c r="AV95" s="484">
        <v>0.281000426875327</v>
      </c>
      <c r="AW95" s="484">
        <v>70.428570694365106</v>
      </c>
      <c r="AX95" s="264">
        <v>6282.8991191304422</v>
      </c>
      <c r="AY95" s="265">
        <v>8920.952177892028</v>
      </c>
      <c r="BW95" s="477" t="s">
        <v>452</v>
      </c>
      <c r="BX95" s="501">
        <f t="shared" si="16"/>
        <v>962.47299999999996</v>
      </c>
      <c r="BY95" s="501">
        <f t="shared" si="17"/>
        <v>0.17399999999999999</v>
      </c>
      <c r="BZ95" s="501">
        <f t="shared" si="18"/>
        <v>0.58599999999999997</v>
      </c>
      <c r="CA95" s="502">
        <f t="shared" si="19"/>
        <v>7556.2698353043552</v>
      </c>
      <c r="CP95" s="477" t="s">
        <v>601</v>
      </c>
      <c r="CQ95" s="482" t="s">
        <v>601</v>
      </c>
    </row>
    <row r="96" spans="2:98" ht="15" customHeight="1" x14ac:dyDescent="0.25">
      <c r="C96" s="413"/>
      <c r="D96" s="413"/>
      <c r="E96" s="476"/>
      <c r="F96" s="413"/>
      <c r="G96" s="476"/>
      <c r="H96" s="413"/>
      <c r="I96" s="476"/>
      <c r="J96" s="413"/>
      <c r="K96" s="597"/>
      <c r="L96" s="576"/>
      <c r="M96" s="597"/>
      <c r="N96" s="576"/>
      <c r="O96" s="597"/>
      <c r="P96" s="576"/>
      <c r="Q96" s="597"/>
      <c r="R96" s="575"/>
      <c r="T96" s="258">
        <v>86</v>
      </c>
      <c r="U96" s="263" t="s">
        <v>599</v>
      </c>
      <c r="V96" s="484">
        <v>93253.700000000099</v>
      </c>
      <c r="W96" s="484">
        <v>1684653506.9630001</v>
      </c>
      <c r="X96" s="484">
        <v>232265414.71799999</v>
      </c>
      <c r="Y96" s="484">
        <v>94859.112999999998</v>
      </c>
      <c r="Z96" s="484">
        <v>145736.677</v>
      </c>
      <c r="AA96" s="484">
        <v>147592118.164</v>
      </c>
      <c r="AB96" s="484">
        <v>0.81699999999999995</v>
      </c>
      <c r="AC96" s="484">
        <v>1.2549999999999999</v>
      </c>
      <c r="AD96" s="484">
        <v>1270.8920000000001</v>
      </c>
      <c r="AE96" s="484">
        <v>0.113</v>
      </c>
      <c r="AF96" s="484">
        <v>0.113</v>
      </c>
      <c r="AG96" s="484">
        <v>0.17299999999999999</v>
      </c>
      <c r="AH96" s="484">
        <v>175.22</v>
      </c>
      <c r="AI96" s="484">
        <v>1.085</v>
      </c>
      <c r="AJ96" s="484">
        <v>1.6619999999999999</v>
      </c>
      <c r="AK96" s="484">
        <v>1714.3979999999999</v>
      </c>
      <c r="AL96" s="484">
        <v>0.112</v>
      </c>
      <c r="AM96" s="484">
        <v>0.17100000000000001</v>
      </c>
      <c r="AN96" s="484">
        <v>176.54300000000001</v>
      </c>
      <c r="AO96" s="484">
        <v>93506291.305000007</v>
      </c>
      <c r="AP96" s="484">
        <v>3066775.7220000001</v>
      </c>
      <c r="AQ96" s="484">
        <v>75032292.134000003</v>
      </c>
      <c r="AR96" s="484">
        <v>379296.72499999998</v>
      </c>
      <c r="AS96" s="484">
        <v>40.258379199841201</v>
      </c>
      <c r="AT96" s="484">
        <v>1.3203755406620501</v>
      </c>
      <c r="AU96" s="484">
        <v>32.304547927272097</v>
      </c>
      <c r="AV96" s="484">
        <v>0.16330314432534199</v>
      </c>
      <c r="AW96" s="484">
        <v>75.202112125510894</v>
      </c>
      <c r="AX96" s="264">
        <v>7253.1397281355275</v>
      </c>
      <c r="AY96" s="265">
        <v>9644.8617346837782</v>
      </c>
      <c r="BW96" s="477" t="s">
        <v>453</v>
      </c>
      <c r="BX96" s="501">
        <f t="shared" si="16"/>
        <v>1000.197</v>
      </c>
      <c r="BY96" s="501">
        <f t="shared" si="17"/>
        <v>0.29499999999999998</v>
      </c>
      <c r="BZ96" s="501">
        <f t="shared" si="18"/>
        <v>0.44600000000000001</v>
      </c>
      <c r="CA96" s="502">
        <f t="shared" si="19"/>
        <v>8519.0144586226943</v>
      </c>
      <c r="CP96" s="477" t="s">
        <v>603</v>
      </c>
      <c r="CQ96" s="482" t="s">
        <v>603</v>
      </c>
    </row>
    <row r="97" spans="2:107" ht="15" customHeight="1" thickBot="1" x14ac:dyDescent="0.3">
      <c r="C97" s="413"/>
      <c r="D97" s="413"/>
      <c r="E97" s="476"/>
      <c r="F97" s="413"/>
      <c r="G97" s="476"/>
      <c r="H97" s="413"/>
      <c r="I97" s="476"/>
      <c r="J97" s="413"/>
      <c r="K97" s="597"/>
      <c r="L97" s="576"/>
      <c r="M97" s="597"/>
      <c r="N97" s="576"/>
      <c r="O97" s="597"/>
      <c r="P97" s="576"/>
      <c r="Q97" s="597"/>
      <c r="R97" s="575"/>
      <c r="T97" s="262">
        <v>87</v>
      </c>
      <c r="U97" s="263" t="s">
        <v>601</v>
      </c>
      <c r="V97" s="484">
        <v>156270.6</v>
      </c>
      <c r="W97" s="484">
        <v>2411729656.6719999</v>
      </c>
      <c r="X97" s="484">
        <v>382787774.95899999</v>
      </c>
      <c r="Y97" s="484">
        <v>105372.072</v>
      </c>
      <c r="Z97" s="484">
        <v>201819.144</v>
      </c>
      <c r="AA97" s="484">
        <v>194209916.009</v>
      </c>
      <c r="AB97" s="484">
        <v>0.55100000000000005</v>
      </c>
      <c r="AC97" s="484">
        <v>1.054</v>
      </c>
      <c r="AD97" s="484">
        <v>1014.713</v>
      </c>
      <c r="AE97" s="484">
        <v>8.6999999999999994E-2</v>
      </c>
      <c r="AF97" s="484">
        <v>8.5999999999999993E-2</v>
      </c>
      <c r="AG97" s="484">
        <v>0.16700000000000001</v>
      </c>
      <c r="AH97" s="484">
        <v>161.054</v>
      </c>
      <c r="AI97" s="484">
        <v>0.70799999999999996</v>
      </c>
      <c r="AJ97" s="484">
        <v>1.41</v>
      </c>
      <c r="AK97" s="484">
        <v>1360.7049999999999</v>
      </c>
      <c r="AL97" s="484">
        <v>8.4000000000000005E-2</v>
      </c>
      <c r="AM97" s="484">
        <v>0.16800000000000001</v>
      </c>
      <c r="AN97" s="484">
        <v>161.852</v>
      </c>
      <c r="AO97" s="484">
        <v>101006612.69</v>
      </c>
      <c r="AP97" s="484">
        <v>178137.041</v>
      </c>
      <c r="AQ97" s="484">
        <v>182135317.435</v>
      </c>
      <c r="AR97" s="484">
        <v>1838398.9939999999</v>
      </c>
      <c r="AS97" s="484">
        <v>26.387105169283899</v>
      </c>
      <c r="AT97" s="484">
        <v>4.6536763388338002E-2</v>
      </c>
      <c r="AU97" s="484">
        <v>47.5812785737944</v>
      </c>
      <c r="AV97" s="484">
        <v>0.48026585889644702</v>
      </c>
      <c r="AW97" s="484">
        <v>74.950083484081802</v>
      </c>
      <c r="AX97" s="264">
        <v>6300.4354225531833</v>
      </c>
      <c r="AY97" s="265">
        <v>8406.1753284877941</v>
      </c>
      <c r="BW97" s="477" t="s">
        <v>454</v>
      </c>
      <c r="BX97" s="501">
        <f t="shared" si="16"/>
        <v>1753.902</v>
      </c>
      <c r="BY97" s="501">
        <f t="shared" si="17"/>
        <v>2.1309999999999998</v>
      </c>
      <c r="BZ97" s="501">
        <f t="shared" si="18"/>
        <v>1.1160000000000001</v>
      </c>
      <c r="CA97" s="502">
        <f t="shared" si="19"/>
        <v>9476.430178002689</v>
      </c>
      <c r="CP97" s="477" t="s">
        <v>259</v>
      </c>
      <c r="CQ97" s="482" t="str">
        <f t="shared" ref="CQ97:CQ107" si="20">CP97</f>
        <v>Canada Average</v>
      </c>
    </row>
    <row r="98" spans="2:107" ht="15" customHeight="1" x14ac:dyDescent="0.25">
      <c r="C98" s="603" t="s">
        <v>455</v>
      </c>
      <c r="D98" s="591"/>
      <c r="E98" s="604" t="str">
        <f>VLOOKUP(E90,CP:CQ,2,0)</f>
        <v>US Average</v>
      </c>
      <c r="F98" s="605" t="s">
        <v>428</v>
      </c>
      <c r="K98" s="575"/>
      <c r="L98" s="575"/>
      <c r="M98" s="575"/>
      <c r="N98" s="575"/>
      <c r="O98" s="575"/>
      <c r="P98" s="575"/>
      <c r="Q98" s="575"/>
      <c r="R98" s="575"/>
      <c r="T98" s="606">
        <v>88</v>
      </c>
      <c r="U98" s="268" t="s">
        <v>603</v>
      </c>
      <c r="V98" s="607">
        <v>289992.40000000002</v>
      </c>
      <c r="W98" s="607">
        <v>3630195388.8169999</v>
      </c>
      <c r="X98" s="607">
        <v>730647397.93900001</v>
      </c>
      <c r="Y98" s="607">
        <v>266227.72200000001</v>
      </c>
      <c r="Z98" s="607">
        <v>118076.829</v>
      </c>
      <c r="AA98" s="607">
        <v>291921795.46499997</v>
      </c>
      <c r="AB98" s="607">
        <v>0.72899999999999998</v>
      </c>
      <c r="AC98" s="607">
        <v>0.32300000000000001</v>
      </c>
      <c r="AD98" s="607">
        <v>799.077</v>
      </c>
      <c r="AE98" s="607">
        <v>0.14699999999999999</v>
      </c>
      <c r="AF98" s="607">
        <v>0.14099999999999999</v>
      </c>
      <c r="AG98" s="607">
        <v>6.5000000000000002E-2</v>
      </c>
      <c r="AH98" s="607">
        <v>160.83000000000001</v>
      </c>
      <c r="AI98" s="607">
        <v>1.2430000000000001</v>
      </c>
      <c r="AJ98" s="607">
        <v>0.57499999999999996</v>
      </c>
      <c r="AK98" s="607">
        <v>1485.001</v>
      </c>
      <c r="AL98" s="607">
        <v>0.13800000000000001</v>
      </c>
      <c r="AM98" s="607">
        <v>6.4000000000000001E-2</v>
      </c>
      <c r="AN98" s="607">
        <v>165.28800000000001</v>
      </c>
      <c r="AO98" s="607">
        <v>167701636.785</v>
      </c>
      <c r="AP98" s="607">
        <v>870835.70600000001</v>
      </c>
      <c r="AQ98" s="607">
        <v>219817457.546</v>
      </c>
      <c r="AR98" s="607">
        <v>2250023.5210000002</v>
      </c>
      <c r="AS98" s="607">
        <v>22.9524512270301</v>
      </c>
      <c r="AT98" s="607">
        <v>0.119186756026398</v>
      </c>
      <c r="AU98" s="607">
        <v>30.0852726896319</v>
      </c>
      <c r="AV98" s="607">
        <v>0.30794902253477802</v>
      </c>
      <c r="AW98" s="607">
        <v>54.999981177804997</v>
      </c>
      <c r="AX98" s="269">
        <v>4968.4641306559142</v>
      </c>
      <c r="AY98" s="270">
        <v>9033.5662048754584</v>
      </c>
      <c r="BW98" s="477" t="s">
        <v>456</v>
      </c>
      <c r="BX98" s="501">
        <f t="shared" si="16"/>
        <v>1474.508</v>
      </c>
      <c r="BY98" s="501">
        <f t="shared" si="17"/>
        <v>1.7889999999999999</v>
      </c>
      <c r="BZ98" s="501">
        <f t="shared" si="18"/>
        <v>0.96899999999999997</v>
      </c>
      <c r="CA98" s="502">
        <f t="shared" si="19"/>
        <v>9335.3296289411355</v>
      </c>
      <c r="CP98" s="477" t="s">
        <v>59</v>
      </c>
      <c r="CQ98" s="482" t="str">
        <f t="shared" si="20"/>
        <v>Alberta</v>
      </c>
    </row>
    <row r="99" spans="2:107" ht="15" customHeight="1" x14ac:dyDescent="0.25">
      <c r="C99" s="582" t="s">
        <v>457</v>
      </c>
      <c r="D99" s="413"/>
      <c r="E99" s="443" t="str">
        <f>IF(ISERROR(VLOOKUP(E98,$CQ$8:$CQ$59,1,0)),"No", "Yes")</f>
        <v>Yes</v>
      </c>
      <c r="F99" s="583" t="s">
        <v>458</v>
      </c>
      <c r="K99" s="575"/>
      <c r="L99" s="575"/>
      <c r="M99" s="575"/>
      <c r="N99" s="575"/>
      <c r="O99" s="575"/>
      <c r="P99" s="575"/>
      <c r="Q99" s="575"/>
      <c r="R99" s="575"/>
      <c r="BW99" s="477" t="s">
        <v>459</v>
      </c>
      <c r="BX99" s="501">
        <f t="shared" si="16"/>
        <v>1062.0029999999999</v>
      </c>
      <c r="BY99" s="501">
        <f t="shared" si="17"/>
        <v>0.437</v>
      </c>
      <c r="BZ99" s="501">
        <f t="shared" si="18"/>
        <v>0.85</v>
      </c>
      <c r="CA99" s="502">
        <f t="shared" si="19"/>
        <v>8393.0520901989967</v>
      </c>
      <c r="CP99" s="477" t="s">
        <v>60</v>
      </c>
      <c r="CQ99" s="482" t="str">
        <f t="shared" si="20"/>
        <v>British Columbia</v>
      </c>
    </row>
    <row r="100" spans="2:107" ht="15" customHeight="1" thickBot="1" x14ac:dyDescent="0.3">
      <c r="C100" s="584" t="s">
        <v>460</v>
      </c>
      <c r="D100" s="585"/>
      <c r="E100" s="586" t="str">
        <f>IF(OR(E91="eGrid Subregions Average Fossil",E91="NERC Average Fossil",E91="US Average Fossil"),"Yes","No")</f>
        <v>Yes</v>
      </c>
      <c r="F100" s="587" t="s">
        <v>458</v>
      </c>
      <c r="K100" s="575"/>
      <c r="L100" s="575"/>
      <c r="M100" s="575"/>
      <c r="N100" s="575"/>
      <c r="O100" s="575"/>
      <c r="P100" s="575"/>
      <c r="Q100" s="575"/>
      <c r="R100" s="575"/>
      <c r="BW100" s="477" t="s">
        <v>461</v>
      </c>
      <c r="BX100" s="501">
        <f t="shared" si="16"/>
        <v>1467.2270000000001</v>
      </c>
      <c r="BY100" s="501">
        <f t="shared" si="17"/>
        <v>1.613</v>
      </c>
      <c r="BZ100" s="501">
        <f t="shared" si="18"/>
        <v>1.2909999999999999</v>
      </c>
      <c r="CA100" s="502">
        <f t="shared" si="19"/>
        <v>8956.8413537566485</v>
      </c>
      <c r="CP100" s="477" t="s">
        <v>61</v>
      </c>
      <c r="CQ100" s="482" t="str">
        <f t="shared" si="20"/>
        <v>Manitoba</v>
      </c>
    </row>
    <row r="101" spans="2:107" ht="15" customHeight="1" thickBot="1" x14ac:dyDescent="0.3">
      <c r="C101" s="608" t="s">
        <v>462</v>
      </c>
      <c r="D101" s="609"/>
      <c r="E101" s="610">
        <f>IF($E$100="Yes",VLOOKUP($E$98&amp;"_Fossil",$BW:$CA,5,0),VLOOKUP($E$98,$BW:$CA,5,0))</f>
        <v>8715.3972664929388</v>
      </c>
      <c r="F101" s="611" t="s">
        <v>463</v>
      </c>
      <c r="K101" s="575"/>
      <c r="L101" s="575"/>
      <c r="M101" s="575"/>
      <c r="N101" s="575"/>
      <c r="O101" s="575"/>
      <c r="P101" s="575"/>
      <c r="Q101" s="575"/>
      <c r="R101" s="575"/>
      <c r="BW101" s="477" t="s">
        <v>464</v>
      </c>
      <c r="BX101" s="501">
        <f t="shared" si="16"/>
        <v>905.02499999999998</v>
      </c>
      <c r="BY101" s="501">
        <f t="shared" si="17"/>
        <v>1.2999999999999999E-2</v>
      </c>
      <c r="BZ101" s="501">
        <f t="shared" si="18"/>
        <v>0.214</v>
      </c>
      <c r="CA101" s="502">
        <f t="shared" si="19"/>
        <v>7669.1646158872963</v>
      </c>
      <c r="CP101" s="477" t="s">
        <v>62</v>
      </c>
      <c r="CQ101" s="482" t="str">
        <f t="shared" si="20"/>
        <v>New Brunswick</v>
      </c>
    </row>
    <row r="102" spans="2:107" ht="15" customHeight="1" x14ac:dyDescent="0.25">
      <c r="C102" s="612" t="s">
        <v>626</v>
      </c>
      <c r="D102" s="613"/>
      <c r="E102" s="614">
        <f>IF($E$100="Yes",VLOOKUP($E$98&amp;"_Fossil",$BW:$CA,2,0),VLOOKUP($E$98,$BW:$CA,2,0))</f>
        <v>1565.2376274509809</v>
      </c>
      <c r="F102" s="615" t="s">
        <v>465</v>
      </c>
      <c r="K102" s="575"/>
      <c r="L102" s="575"/>
      <c r="M102" s="575"/>
      <c r="N102" s="575"/>
      <c r="O102" s="575"/>
      <c r="P102" s="575"/>
      <c r="Q102" s="575"/>
      <c r="R102" s="616"/>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552"/>
      <c r="BB102" s="552"/>
      <c r="BC102" s="552"/>
      <c r="BD102" s="552"/>
      <c r="BE102" s="552"/>
      <c r="BF102" s="552"/>
      <c r="BG102" s="420"/>
      <c r="BH102" s="552"/>
      <c r="BI102" s="552"/>
      <c r="BJ102" s="552"/>
      <c r="BK102" s="552"/>
      <c r="BL102" s="552"/>
      <c r="BM102" s="552"/>
      <c r="BN102" s="552"/>
      <c r="BO102" s="552"/>
      <c r="BP102" s="420"/>
      <c r="BQ102" s="420"/>
      <c r="BR102" s="420"/>
      <c r="BS102" s="420"/>
      <c r="BT102" s="420"/>
      <c r="BU102" s="420"/>
      <c r="BV102" s="420"/>
      <c r="BW102" s="531" t="s">
        <v>466</v>
      </c>
      <c r="BX102" s="532">
        <f t="shared" si="16"/>
        <v>1589.85</v>
      </c>
      <c r="BY102" s="532">
        <f t="shared" si="17"/>
        <v>0.52</v>
      </c>
      <c r="BZ102" s="532">
        <f t="shared" si="18"/>
        <v>0.61799999999999999</v>
      </c>
      <c r="CA102" s="533">
        <f t="shared" si="19"/>
        <v>9329.0242791631463</v>
      </c>
      <c r="CB102" s="420"/>
      <c r="CC102" s="420"/>
      <c r="CD102" s="420"/>
      <c r="CE102" s="420"/>
      <c r="CF102" s="420"/>
      <c r="CG102" s="420"/>
      <c r="CH102" s="420"/>
      <c r="CI102" s="420"/>
      <c r="CJ102" s="420"/>
      <c r="CK102" s="420"/>
      <c r="CL102" s="420"/>
      <c r="CM102" s="420"/>
      <c r="CN102" s="420"/>
      <c r="CO102" s="420"/>
      <c r="CP102" s="477" t="s">
        <v>63</v>
      </c>
      <c r="CQ102" s="482" t="str">
        <f t="shared" si="20"/>
        <v>Newfoundland</v>
      </c>
      <c r="CR102" s="420"/>
      <c r="CS102" s="420"/>
      <c r="CT102" s="420"/>
      <c r="CW102" s="535"/>
      <c r="CX102" s="535"/>
      <c r="CY102" s="535"/>
      <c r="CZ102" s="535"/>
      <c r="DA102" s="535"/>
      <c r="DB102" s="420"/>
      <c r="DC102" s="420"/>
    </row>
    <row r="103" spans="2:107" ht="15" customHeight="1" x14ac:dyDescent="0.25">
      <c r="B103" s="413"/>
      <c r="C103" s="617" t="s">
        <v>627</v>
      </c>
      <c r="D103" s="618"/>
      <c r="E103" s="619">
        <f>IF($E$100="Yes",VLOOKUP($E$98&amp;"_Fossil",$BW:$CA,3,0),VLOOKUP($E$98,$BW:$CA,3,0))</f>
        <v>1.2483725490196078</v>
      </c>
      <c r="F103" s="620" t="s">
        <v>465</v>
      </c>
      <c r="K103" s="575"/>
      <c r="L103" s="575"/>
      <c r="M103" s="575"/>
      <c r="N103" s="575"/>
      <c r="O103" s="575"/>
      <c r="P103" s="575"/>
      <c r="Q103" s="575"/>
      <c r="R103" s="616"/>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552"/>
      <c r="BB103" s="552"/>
      <c r="BC103" s="552"/>
      <c r="BD103" s="552"/>
      <c r="BE103" s="552"/>
      <c r="BF103" s="552"/>
      <c r="BG103" s="420"/>
      <c r="BH103" s="552"/>
      <c r="BI103" s="552"/>
      <c r="BJ103" s="552"/>
      <c r="BK103" s="552"/>
      <c r="BL103" s="552"/>
      <c r="BM103" s="552"/>
      <c r="BN103" s="552"/>
      <c r="BO103" s="552"/>
      <c r="BP103" s="420"/>
      <c r="BQ103" s="420"/>
      <c r="BR103" s="420"/>
      <c r="BS103" s="420"/>
      <c r="BT103" s="420"/>
      <c r="BU103" s="420"/>
      <c r="BV103" s="420"/>
      <c r="BW103" s="531" t="s">
        <v>467</v>
      </c>
      <c r="BX103" s="532">
        <f t="shared" si="16"/>
        <v>1758.21</v>
      </c>
      <c r="BY103" s="532">
        <f t="shared" si="17"/>
        <v>0.48599999999999999</v>
      </c>
      <c r="BZ103" s="532">
        <f t="shared" si="18"/>
        <v>0.70699999999999996</v>
      </c>
      <c r="CA103" s="533">
        <f t="shared" si="19"/>
        <v>9557.1336666936859</v>
      </c>
      <c r="CB103" s="420"/>
      <c r="CC103" s="420"/>
      <c r="CD103" s="420"/>
      <c r="CE103" s="420"/>
      <c r="CF103" s="420"/>
      <c r="CG103" s="420"/>
      <c r="CH103" s="420"/>
      <c r="CI103" s="420"/>
      <c r="CJ103" s="420"/>
      <c r="CK103" s="420"/>
      <c r="CL103" s="420"/>
      <c r="CM103" s="420"/>
      <c r="CN103" s="420"/>
      <c r="CO103" s="420"/>
      <c r="CP103" s="477" t="s">
        <v>64</v>
      </c>
      <c r="CQ103" s="482" t="str">
        <f t="shared" si="20"/>
        <v>Nova Scotia</v>
      </c>
      <c r="CR103" s="420"/>
      <c r="CS103" s="420"/>
      <c r="CT103" s="420"/>
      <c r="CU103" s="535"/>
      <c r="CV103" s="535"/>
      <c r="CW103" s="535"/>
      <c r="CX103" s="535"/>
      <c r="CY103" s="535"/>
      <c r="CZ103" s="535"/>
      <c r="DA103" s="535"/>
      <c r="DB103" s="420"/>
      <c r="DC103" s="420"/>
    </row>
    <row r="104" spans="2:107" ht="15" customHeight="1" thickBot="1" x14ac:dyDescent="0.3">
      <c r="B104" s="413"/>
      <c r="C104" s="621" t="s">
        <v>628</v>
      </c>
      <c r="D104" s="622"/>
      <c r="E104" s="623">
        <f>IF($E$100="Yes",VLOOKUP($E$98&amp;"_Fossil",$BW:$CA,4,0),VLOOKUP($E$98,$BW:$CA,4,0))</f>
        <v>1.4468039215686268</v>
      </c>
      <c r="F104" s="624" t="s">
        <v>465</v>
      </c>
      <c r="I104" s="625"/>
      <c r="J104" s="420"/>
      <c r="K104" s="616"/>
      <c r="L104" s="616"/>
      <c r="M104" s="616"/>
      <c r="N104" s="616"/>
      <c r="O104" s="616"/>
      <c r="P104" s="616"/>
      <c r="Q104" s="616"/>
      <c r="R104" s="616"/>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552"/>
      <c r="BB104" s="552"/>
      <c r="BC104" s="552"/>
      <c r="BD104" s="552"/>
      <c r="BE104" s="552"/>
      <c r="BF104" s="552"/>
      <c r="BG104" s="420"/>
      <c r="BH104" s="552"/>
      <c r="BI104" s="552"/>
      <c r="BJ104" s="552"/>
      <c r="BK104" s="552"/>
      <c r="BL104" s="552"/>
      <c r="BM104" s="552"/>
      <c r="BN104" s="552"/>
      <c r="BO104" s="552"/>
      <c r="BP104" s="420"/>
      <c r="BQ104" s="420"/>
      <c r="BR104" s="420"/>
      <c r="BS104" s="420"/>
      <c r="BT104" s="420"/>
      <c r="BU104" s="420"/>
      <c r="BV104" s="420"/>
      <c r="BW104" s="531" t="s">
        <v>468</v>
      </c>
      <c r="BX104" s="532">
        <f t="shared" si="16"/>
        <v>1831.7829999999999</v>
      </c>
      <c r="BY104" s="532">
        <f t="shared" si="17"/>
        <v>1.454</v>
      </c>
      <c r="BZ104" s="532">
        <f t="shared" si="18"/>
        <v>0.91300000000000003</v>
      </c>
      <c r="CA104" s="533">
        <f t="shared" si="19"/>
        <v>9670.2766214037874</v>
      </c>
      <c r="CB104" s="420"/>
      <c r="CC104" s="420"/>
      <c r="CD104" s="420"/>
      <c r="CE104" s="420"/>
      <c r="CF104" s="420"/>
      <c r="CG104" s="420"/>
      <c r="CH104" s="420"/>
      <c r="CI104" s="420"/>
      <c r="CJ104" s="420"/>
      <c r="CK104" s="420"/>
      <c r="CL104" s="420"/>
      <c r="CM104" s="420"/>
      <c r="CN104" s="420"/>
      <c r="CO104" s="420"/>
      <c r="CP104" s="477" t="s">
        <v>65</v>
      </c>
      <c r="CQ104" s="482" t="str">
        <f t="shared" si="20"/>
        <v>Ontario</v>
      </c>
      <c r="CR104" s="420"/>
      <c r="CS104" s="420"/>
      <c r="CT104" s="420"/>
      <c r="CU104" s="535"/>
      <c r="CV104" s="535"/>
      <c r="CW104" s="535"/>
      <c r="CX104" s="535"/>
      <c r="CY104" s="535"/>
      <c r="CZ104" s="535"/>
      <c r="DA104" s="535"/>
      <c r="DB104" s="420"/>
      <c r="DC104" s="420"/>
    </row>
    <row r="105" spans="2:107" ht="15" customHeight="1" x14ac:dyDescent="0.25">
      <c r="B105" s="413"/>
      <c r="C105" s="612" t="s">
        <v>629</v>
      </c>
      <c r="D105" s="613"/>
      <c r="E105" s="614">
        <f>E69/$E$68</f>
        <v>117.64705882352941</v>
      </c>
      <c r="F105" s="615" t="s">
        <v>469</v>
      </c>
      <c r="I105" s="420"/>
      <c r="J105" s="420"/>
      <c r="K105" s="616"/>
      <c r="L105" s="616"/>
      <c r="M105" s="616"/>
      <c r="N105" s="616"/>
      <c r="O105" s="616"/>
      <c r="P105" s="626"/>
      <c r="Q105" s="626"/>
      <c r="R105" s="616"/>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552"/>
      <c r="BB105" s="552"/>
      <c r="BC105" s="552"/>
      <c r="BD105" s="552"/>
      <c r="BE105" s="552"/>
      <c r="BF105" s="552"/>
      <c r="BG105" s="420"/>
      <c r="BH105" s="552"/>
      <c r="BI105" s="552"/>
      <c r="BJ105" s="552"/>
      <c r="BK105" s="552"/>
      <c r="BL105" s="552"/>
      <c r="BM105" s="552"/>
      <c r="BN105" s="552"/>
      <c r="BO105" s="552"/>
      <c r="BP105" s="420"/>
      <c r="BQ105" s="420"/>
      <c r="BR105" s="420"/>
      <c r="BS105" s="420"/>
      <c r="BT105" s="420"/>
      <c r="BU105" s="420"/>
      <c r="BV105" s="420"/>
      <c r="BW105" s="531" t="s">
        <v>470</v>
      </c>
      <c r="BX105" s="532">
        <f t="shared" si="16"/>
        <v>1360.568</v>
      </c>
      <c r="BY105" s="532">
        <f t="shared" si="17"/>
        <v>1.4059999999999999</v>
      </c>
      <c r="BZ105" s="532">
        <f t="shared" si="18"/>
        <v>0.75700000000000001</v>
      </c>
      <c r="CA105" s="533">
        <f t="shared" si="19"/>
        <v>8474.4185687737063</v>
      </c>
      <c r="CB105" s="420"/>
      <c r="CC105" s="420"/>
      <c r="CD105" s="420"/>
      <c r="CE105" s="420"/>
      <c r="CF105" s="420"/>
      <c r="CG105" s="420"/>
      <c r="CH105" s="420"/>
      <c r="CI105" s="420"/>
      <c r="CJ105" s="420"/>
      <c r="CK105" s="420"/>
      <c r="CL105" s="420"/>
      <c r="CM105" s="420"/>
      <c r="CN105" s="420"/>
      <c r="CO105" s="420"/>
      <c r="CP105" s="477" t="s">
        <v>66</v>
      </c>
      <c r="CQ105" s="482" t="str">
        <f t="shared" si="20"/>
        <v>Prince Edward Island</v>
      </c>
      <c r="CR105" s="420"/>
      <c r="CS105" s="420"/>
      <c r="CT105" s="420"/>
      <c r="CU105" s="535"/>
      <c r="CV105" s="535"/>
      <c r="CW105" s="535"/>
      <c r="CX105" s="535"/>
      <c r="CY105" s="535"/>
      <c r="CZ105" s="535"/>
      <c r="DA105" s="535"/>
      <c r="DB105" s="420"/>
      <c r="DC105" s="420"/>
    </row>
    <row r="106" spans="2:107" ht="15" customHeight="1" x14ac:dyDescent="0.25">
      <c r="B106" s="413"/>
      <c r="C106" s="617" t="s">
        <v>630</v>
      </c>
      <c r="D106" s="618"/>
      <c r="E106" s="627">
        <f>E70/$E$68</f>
        <v>5.8823529411764701E-4</v>
      </c>
      <c r="F106" s="620" t="s">
        <v>469</v>
      </c>
      <c r="I106" s="420"/>
      <c r="J106" s="420"/>
      <c r="K106" s="616"/>
      <c r="L106" s="616"/>
      <c r="M106" s="616"/>
      <c r="N106" s="616"/>
      <c r="O106" s="616"/>
      <c r="P106" s="616"/>
      <c r="Q106" s="626"/>
      <c r="R106" s="616"/>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c r="AR106" s="420"/>
      <c r="AS106" s="420"/>
      <c r="AT106" s="420"/>
      <c r="AU106" s="420"/>
      <c r="AV106" s="420"/>
      <c r="AW106" s="420"/>
      <c r="AX106" s="420"/>
      <c r="AY106" s="420"/>
      <c r="AZ106" s="420"/>
      <c r="BA106" s="552"/>
      <c r="BB106" s="552"/>
      <c r="BC106" s="552"/>
      <c r="BD106" s="552"/>
      <c r="BE106" s="552"/>
      <c r="BF106" s="552"/>
      <c r="BG106" s="420"/>
      <c r="BH106" s="552"/>
      <c r="BI106" s="552"/>
      <c r="BJ106" s="552"/>
      <c r="BK106" s="552"/>
      <c r="BL106" s="552"/>
      <c r="BM106" s="552"/>
      <c r="BN106" s="552"/>
      <c r="BO106" s="552"/>
      <c r="BP106" s="420"/>
      <c r="BQ106" s="420"/>
      <c r="BR106" s="420"/>
      <c r="BS106" s="420"/>
      <c r="BT106" s="420"/>
      <c r="BU106" s="420"/>
      <c r="BV106" s="420"/>
      <c r="BW106" s="531" t="s">
        <v>471</v>
      </c>
      <c r="BX106" s="532">
        <f t="shared" si="16"/>
        <v>1777.4110000000001</v>
      </c>
      <c r="BY106" s="532">
        <f t="shared" si="17"/>
        <v>0.95199999999999996</v>
      </c>
      <c r="BZ106" s="532">
        <f t="shared" si="18"/>
        <v>1.897</v>
      </c>
      <c r="CA106" s="533">
        <f t="shared" si="19"/>
        <v>9460.7895305724796</v>
      </c>
      <c r="CB106" s="420"/>
      <c r="CC106" s="420"/>
      <c r="CD106" s="420"/>
      <c r="CE106" s="420"/>
      <c r="CF106" s="420"/>
      <c r="CG106" s="420"/>
      <c r="CH106" s="420"/>
      <c r="CI106" s="420"/>
      <c r="CJ106" s="420"/>
      <c r="CK106" s="420"/>
      <c r="CL106" s="420"/>
      <c r="CM106" s="420"/>
      <c r="CN106" s="420"/>
      <c r="CO106" s="420"/>
      <c r="CP106" s="477" t="s">
        <v>67</v>
      </c>
      <c r="CQ106" s="482" t="str">
        <f t="shared" si="20"/>
        <v>Quebec</v>
      </c>
      <c r="CR106" s="420"/>
      <c r="CS106" s="420"/>
      <c r="CT106" s="420"/>
      <c r="CU106" s="535"/>
      <c r="CV106" s="535"/>
      <c r="CW106" s="535"/>
      <c r="CX106" s="535"/>
      <c r="CY106" s="535"/>
      <c r="CZ106" s="535"/>
      <c r="DA106" s="535"/>
      <c r="DB106" s="420"/>
      <c r="DC106" s="420"/>
    </row>
    <row r="107" spans="2:107" ht="15" customHeight="1" thickBot="1" x14ac:dyDescent="0.3">
      <c r="B107" s="413"/>
      <c r="C107" s="621" t="s">
        <v>631</v>
      </c>
      <c r="D107" s="622"/>
      <c r="E107" s="628">
        <f>E71/$E$68</f>
        <v>0.12342047930283224</v>
      </c>
      <c r="F107" s="624" t="s">
        <v>469</v>
      </c>
      <c r="I107" s="420"/>
      <c r="J107" s="420"/>
      <c r="K107" s="616"/>
      <c r="L107" s="616"/>
      <c r="M107" s="616"/>
      <c r="N107" s="616"/>
      <c r="O107" s="616"/>
      <c r="P107" s="616"/>
      <c r="Q107" s="626"/>
      <c r="R107" s="616"/>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420"/>
      <c r="AV107" s="420"/>
      <c r="AW107" s="420"/>
      <c r="AX107" s="420"/>
      <c r="AY107" s="420"/>
      <c r="AZ107" s="420"/>
      <c r="BA107" s="552"/>
      <c r="BB107" s="552"/>
      <c r="BC107" s="552"/>
      <c r="BD107" s="552"/>
      <c r="BE107" s="552"/>
      <c r="BF107" s="552"/>
      <c r="BG107" s="420"/>
      <c r="BH107" s="552"/>
      <c r="BI107" s="552"/>
      <c r="BJ107" s="552"/>
      <c r="BK107" s="552"/>
      <c r="BL107" s="552"/>
      <c r="BM107" s="552"/>
      <c r="BN107" s="552"/>
      <c r="BO107" s="552"/>
      <c r="BP107" s="420"/>
      <c r="BQ107" s="420"/>
      <c r="BR107" s="420"/>
      <c r="BS107" s="420"/>
      <c r="BT107" s="420"/>
      <c r="BU107" s="420"/>
      <c r="BV107" s="420"/>
      <c r="BW107" s="531" t="s">
        <v>472</v>
      </c>
      <c r="BX107" s="532">
        <f t="shared" si="16"/>
        <v>1243.0070000000001</v>
      </c>
      <c r="BY107" s="532">
        <f t="shared" si="17"/>
        <v>0.35299999999999998</v>
      </c>
      <c r="BZ107" s="532">
        <f t="shared" si="18"/>
        <v>0.63400000000000001</v>
      </c>
      <c r="CA107" s="533">
        <f t="shared" si="19"/>
        <v>8750.3101702986205</v>
      </c>
      <c r="CB107" s="420"/>
      <c r="CC107" s="420"/>
      <c r="CD107" s="420"/>
      <c r="CE107" s="420"/>
      <c r="CF107" s="420"/>
      <c r="CG107" s="420"/>
      <c r="CH107" s="420"/>
      <c r="CI107" s="420"/>
      <c r="CJ107" s="420"/>
      <c r="CK107" s="420"/>
      <c r="CL107" s="420"/>
      <c r="CM107" s="420"/>
      <c r="CN107" s="420"/>
      <c r="CO107" s="420"/>
      <c r="CP107" s="510" t="s">
        <v>68</v>
      </c>
      <c r="CQ107" s="483" t="str">
        <f t="shared" si="20"/>
        <v>Saskatchewan</v>
      </c>
      <c r="CR107" s="420"/>
      <c r="CS107" s="420"/>
      <c r="CT107" s="420"/>
      <c r="CU107" s="535"/>
      <c r="CV107" s="535"/>
      <c r="CW107" s="535"/>
      <c r="CX107" s="535"/>
      <c r="CY107" s="535"/>
      <c r="CZ107" s="535"/>
      <c r="DA107" s="535"/>
      <c r="DB107" s="420"/>
      <c r="DC107" s="420"/>
    </row>
    <row r="108" spans="2:107" ht="15" customHeight="1" x14ac:dyDescent="0.25">
      <c r="B108" s="413"/>
      <c r="C108" s="612" t="s">
        <v>632</v>
      </c>
      <c r="D108" s="613"/>
      <c r="E108" s="629">
        <f>E73</f>
        <v>12500</v>
      </c>
      <c r="F108" s="615" t="s">
        <v>633</v>
      </c>
      <c r="I108" s="420"/>
      <c r="J108" s="420"/>
      <c r="K108" s="616"/>
      <c r="L108" s="616"/>
      <c r="M108" s="616"/>
      <c r="N108" s="616"/>
      <c r="O108" s="616"/>
      <c r="P108" s="616"/>
      <c r="Q108" s="630"/>
      <c r="R108" s="616"/>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0"/>
      <c r="AY108" s="420"/>
      <c r="AZ108" s="420"/>
      <c r="BA108" s="552"/>
      <c r="BB108" s="552"/>
      <c r="BC108" s="552"/>
      <c r="BD108" s="552"/>
      <c r="BE108" s="552"/>
      <c r="BF108" s="552"/>
      <c r="BG108" s="420"/>
      <c r="BH108" s="552"/>
      <c r="BI108" s="552"/>
      <c r="BJ108" s="552"/>
      <c r="BK108" s="552"/>
      <c r="BL108" s="552"/>
      <c r="BM108" s="552"/>
      <c r="BN108" s="552"/>
      <c r="BO108" s="552"/>
      <c r="BP108" s="420"/>
      <c r="BQ108" s="420"/>
      <c r="BR108" s="420"/>
      <c r="BS108" s="420"/>
      <c r="BT108" s="420"/>
      <c r="BU108" s="420"/>
      <c r="BV108" s="420"/>
      <c r="BW108" s="531" t="s">
        <v>473</v>
      </c>
      <c r="BX108" s="532">
        <f t="shared" si="16"/>
        <v>3251.2</v>
      </c>
      <c r="BY108" s="532">
        <f t="shared" si="17"/>
        <v>4.1219999999999999</v>
      </c>
      <c r="BZ108" s="532">
        <f t="shared" si="18"/>
        <v>8.4949999999999992</v>
      </c>
      <c r="CA108" s="533">
        <f t="shared" si="19"/>
        <v>10379.731818277229</v>
      </c>
      <c r="CB108" s="420"/>
      <c r="CC108" s="420"/>
      <c r="CD108" s="420"/>
      <c r="CE108" s="420"/>
      <c r="CF108" s="420"/>
      <c r="CG108" s="420"/>
      <c r="CH108" s="420"/>
      <c r="CI108" s="420"/>
      <c r="CJ108" s="420"/>
      <c r="CK108" s="420"/>
      <c r="CL108" s="420"/>
      <c r="CM108" s="420"/>
      <c r="CN108" s="420"/>
      <c r="CO108" s="420"/>
      <c r="CR108" s="420"/>
      <c r="CS108" s="420"/>
      <c r="CT108" s="420"/>
      <c r="CU108" s="535"/>
      <c r="CV108" s="535"/>
      <c r="CW108" s="535"/>
      <c r="CX108" s="535"/>
      <c r="CY108" s="535"/>
      <c r="CZ108" s="535"/>
      <c r="DA108" s="535"/>
      <c r="DB108" s="420"/>
      <c r="DC108" s="420"/>
    </row>
    <row r="109" spans="2:107" ht="15" customHeight="1" x14ac:dyDescent="0.25">
      <c r="C109" s="617" t="s">
        <v>634</v>
      </c>
      <c r="D109" s="618"/>
      <c r="E109" s="619">
        <f>E74</f>
        <v>0.1</v>
      </c>
      <c r="F109" s="620" t="s">
        <v>633</v>
      </c>
      <c r="I109" s="420"/>
      <c r="J109" s="420"/>
      <c r="K109" s="616"/>
      <c r="L109" s="616"/>
      <c r="M109" s="616"/>
      <c r="N109" s="616"/>
      <c r="O109" s="616"/>
      <c r="P109" s="616"/>
      <c r="Q109" s="616"/>
      <c r="R109" s="616"/>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552"/>
      <c r="BB109" s="552"/>
      <c r="BC109" s="552"/>
      <c r="BD109" s="552"/>
      <c r="BE109" s="552"/>
      <c r="BF109" s="552"/>
      <c r="BG109" s="420"/>
      <c r="BH109" s="552"/>
      <c r="BI109" s="552"/>
      <c r="BJ109" s="552"/>
      <c r="BK109" s="552"/>
      <c r="BL109" s="552"/>
      <c r="BM109" s="552"/>
      <c r="BN109" s="552"/>
      <c r="BO109" s="552"/>
      <c r="BP109" s="420"/>
      <c r="BQ109" s="420"/>
      <c r="BR109" s="420"/>
      <c r="BS109" s="420"/>
      <c r="BT109" s="420"/>
      <c r="BU109" s="420"/>
      <c r="BV109" s="420"/>
      <c r="BW109" s="531" t="s">
        <v>474</v>
      </c>
      <c r="BX109" s="532">
        <f t="shared" si="16"/>
        <v>1319.577</v>
      </c>
      <c r="BY109" s="532">
        <f t="shared" si="17"/>
        <v>0.187</v>
      </c>
      <c r="BZ109" s="532">
        <f t="shared" si="18"/>
        <v>0.81499999999999995</v>
      </c>
      <c r="CA109" s="533">
        <f t="shared" si="19"/>
        <v>8552.9028215054295</v>
      </c>
      <c r="CB109" s="420"/>
      <c r="CC109" s="420"/>
      <c r="CD109" s="420"/>
      <c r="CE109" s="420"/>
      <c r="CF109" s="420"/>
      <c r="CG109" s="420"/>
      <c r="CH109" s="420"/>
      <c r="CI109" s="420"/>
      <c r="CJ109" s="420"/>
      <c r="CK109" s="420"/>
      <c r="CL109" s="420"/>
      <c r="CM109" s="420"/>
      <c r="CN109" s="420"/>
      <c r="CO109" s="420"/>
      <c r="CP109" s="420"/>
      <c r="CQ109" s="420"/>
      <c r="CR109" s="420"/>
      <c r="CS109" s="420"/>
      <c r="CT109" s="420"/>
      <c r="CU109" s="535"/>
      <c r="CV109" s="535"/>
      <c r="CW109" s="535"/>
      <c r="CX109" s="535"/>
      <c r="CY109" s="535"/>
      <c r="CZ109" s="535"/>
      <c r="DA109" s="535"/>
      <c r="DB109" s="420"/>
      <c r="DC109" s="420"/>
    </row>
    <row r="110" spans="2:107" ht="15" customHeight="1" thickBot="1" x14ac:dyDescent="0.3">
      <c r="C110" s="621" t="s">
        <v>635</v>
      </c>
      <c r="D110" s="622"/>
      <c r="E110" s="623">
        <f>E75</f>
        <v>13</v>
      </c>
      <c r="F110" s="624" t="s">
        <v>633</v>
      </c>
      <c r="I110" s="420"/>
      <c r="J110" s="420"/>
      <c r="K110" s="616"/>
      <c r="L110" s="616"/>
      <c r="M110" s="616"/>
      <c r="N110" s="616"/>
      <c r="O110" s="616"/>
      <c r="P110" s="616"/>
      <c r="Q110" s="616"/>
      <c r="R110" s="631"/>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552"/>
      <c r="BB110" s="552"/>
      <c r="BC110" s="552"/>
      <c r="BD110" s="552"/>
      <c r="BE110" s="552"/>
      <c r="BF110" s="552"/>
      <c r="BG110" s="420"/>
      <c r="BH110" s="552"/>
      <c r="BI110" s="552"/>
      <c r="BJ110" s="552"/>
      <c r="BK110" s="552"/>
      <c r="BL110" s="552"/>
      <c r="BM110" s="552"/>
      <c r="BN110" s="552"/>
      <c r="BO110" s="552"/>
      <c r="BP110" s="420"/>
      <c r="BQ110" s="420"/>
      <c r="BR110" s="420"/>
      <c r="BS110" s="420"/>
      <c r="BT110" s="420"/>
      <c r="BU110" s="420"/>
      <c r="BV110" s="420"/>
      <c r="BW110" s="531" t="s">
        <v>475</v>
      </c>
      <c r="BX110" s="532">
        <f t="shared" si="16"/>
        <v>1838.7049999999999</v>
      </c>
      <c r="BY110" s="532">
        <f t="shared" si="17"/>
        <v>0.627</v>
      </c>
      <c r="BZ110" s="532">
        <f t="shared" si="18"/>
        <v>0.68799999999999994</v>
      </c>
      <c r="CA110" s="533">
        <f t="shared" si="19"/>
        <v>9791.2296198584463</v>
      </c>
      <c r="CB110" s="420"/>
      <c r="CC110" s="420"/>
      <c r="CD110" s="420"/>
      <c r="CE110" s="420"/>
      <c r="CF110" s="420"/>
      <c r="CG110" s="420"/>
      <c r="CH110" s="420"/>
      <c r="CI110" s="420"/>
      <c r="CJ110" s="420"/>
      <c r="CK110" s="420"/>
      <c r="CL110" s="420"/>
      <c r="CM110" s="420"/>
      <c r="CN110" s="420"/>
      <c r="CO110" s="420"/>
      <c r="CR110" s="420"/>
      <c r="CS110" s="420"/>
      <c r="CT110" s="420"/>
      <c r="CU110" s="535"/>
      <c r="CV110" s="535"/>
      <c r="CW110" s="535"/>
      <c r="CX110" s="535"/>
      <c r="CY110" s="535"/>
      <c r="CZ110" s="535"/>
      <c r="DA110" s="535"/>
      <c r="DB110" s="420"/>
      <c r="DC110" s="420"/>
    </row>
    <row r="111" spans="2:107" ht="15" customHeight="1" x14ac:dyDescent="0.25">
      <c r="C111" s="612" t="s">
        <v>636</v>
      </c>
      <c r="D111" s="613"/>
      <c r="E111" s="629">
        <f>E77</f>
        <v>22300</v>
      </c>
      <c r="F111" s="615" t="s">
        <v>633</v>
      </c>
      <c r="I111" s="420"/>
      <c r="J111" s="420"/>
      <c r="K111" s="616"/>
      <c r="L111" s="616"/>
      <c r="M111" s="616"/>
      <c r="N111" s="616"/>
      <c r="O111" s="616"/>
      <c r="P111" s="616"/>
      <c r="Q111" s="630"/>
      <c r="R111" s="616"/>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0"/>
      <c r="AZ111" s="420"/>
      <c r="BA111" s="552"/>
      <c r="BB111" s="552"/>
      <c r="BC111" s="552"/>
      <c r="BD111" s="552"/>
      <c r="BE111" s="552"/>
      <c r="BF111" s="552"/>
      <c r="BG111" s="420"/>
      <c r="BH111" s="552"/>
      <c r="BI111" s="552"/>
      <c r="BJ111" s="552"/>
      <c r="BK111" s="552"/>
      <c r="BL111" s="552"/>
      <c r="BM111" s="552"/>
      <c r="BN111" s="552"/>
      <c r="BO111" s="552"/>
      <c r="BP111" s="420"/>
      <c r="BQ111" s="420"/>
      <c r="BR111" s="420"/>
      <c r="BS111" s="420"/>
      <c r="BT111" s="420"/>
      <c r="BU111" s="420"/>
      <c r="BV111" s="420"/>
      <c r="BW111" s="531" t="s">
        <v>476</v>
      </c>
      <c r="BX111" s="532">
        <f t="shared" si="16"/>
        <v>2058.6559999999999</v>
      </c>
      <c r="BY111" s="532">
        <f t="shared" si="17"/>
        <v>1.23</v>
      </c>
      <c r="BZ111" s="532">
        <f t="shared" si="18"/>
        <v>1.3859999999999999</v>
      </c>
      <c r="CA111" s="533">
        <f t="shared" si="19"/>
        <v>10049.94281288927</v>
      </c>
      <c r="CB111" s="420"/>
      <c r="CC111" s="420"/>
      <c r="CD111" s="420"/>
      <c r="CE111" s="420"/>
      <c r="CF111" s="420"/>
      <c r="CG111" s="420"/>
      <c r="CH111" s="420"/>
      <c r="CI111" s="420"/>
      <c r="CJ111" s="420"/>
      <c r="CK111" s="420"/>
      <c r="CL111" s="420"/>
      <c r="CM111" s="420"/>
      <c r="CN111" s="420"/>
      <c r="CO111" s="420"/>
      <c r="CR111" s="420"/>
      <c r="CS111" s="420"/>
      <c r="CT111" s="420"/>
      <c r="CU111" s="535"/>
      <c r="CV111" s="535"/>
      <c r="CW111" s="535"/>
      <c r="CX111" s="535"/>
      <c r="CY111" s="535"/>
      <c r="CZ111" s="535"/>
      <c r="DA111" s="535"/>
      <c r="DB111" s="420"/>
      <c r="DC111" s="420"/>
    </row>
    <row r="112" spans="2:107" ht="15" customHeight="1" x14ac:dyDescent="0.25">
      <c r="C112" s="617" t="s">
        <v>637</v>
      </c>
      <c r="D112" s="618"/>
      <c r="E112" s="619">
        <f>E78</f>
        <v>142</v>
      </c>
      <c r="F112" s="620" t="s">
        <v>633</v>
      </c>
      <c r="I112" s="420"/>
      <c r="J112" s="420"/>
      <c r="K112" s="616"/>
      <c r="L112" s="616"/>
      <c r="M112" s="616"/>
      <c r="N112" s="616"/>
      <c r="O112" s="616"/>
      <c r="P112" s="616"/>
      <c r="Q112" s="616"/>
      <c r="R112" s="575"/>
      <c r="BW112" s="542" t="s">
        <v>477</v>
      </c>
      <c r="BX112" s="632">
        <f t="shared" si="16"/>
        <v>2324.7469999999998</v>
      </c>
      <c r="BY112" s="632">
        <f t="shared" si="17"/>
        <v>1.609</v>
      </c>
      <c r="BZ112" s="632">
        <f t="shared" si="18"/>
        <v>1.823</v>
      </c>
      <c r="CA112" s="633">
        <f t="shared" si="19"/>
        <v>11003.117753431805</v>
      </c>
      <c r="CU112" s="535"/>
      <c r="CV112" s="535"/>
    </row>
    <row r="113" spans="3:95" ht="15" customHeight="1" thickBot="1" x14ac:dyDescent="0.3">
      <c r="C113" s="621" t="s">
        <v>638</v>
      </c>
      <c r="D113" s="622"/>
      <c r="E113" s="623">
        <f>E79</f>
        <v>24</v>
      </c>
      <c r="F113" s="624" t="s">
        <v>633</v>
      </c>
      <c r="I113" s="420"/>
      <c r="J113" s="420"/>
      <c r="K113" s="616"/>
      <c r="L113" s="616"/>
      <c r="M113" s="616"/>
      <c r="N113" s="616"/>
      <c r="O113" s="616"/>
      <c r="P113" s="616"/>
      <c r="Q113" s="616"/>
      <c r="R113" s="575"/>
      <c r="BW113" s="496" t="s">
        <v>578</v>
      </c>
      <c r="BX113" s="501">
        <f t="shared" ref="BX113:BZ149" si="21">AD62</f>
        <v>1072.28</v>
      </c>
      <c r="BY113" s="501">
        <f t="shared" si="21"/>
        <v>0.82799999999999996</v>
      </c>
      <c r="BZ113" s="501">
        <f t="shared" si="21"/>
        <v>0.83199999999999996</v>
      </c>
      <c r="CA113" s="502">
        <f t="shared" ref="CA113:CA149" si="22">AX62</f>
        <v>7870.8543643333114</v>
      </c>
    </row>
    <row r="114" spans="3:95" ht="15" customHeight="1" x14ac:dyDescent="0.25">
      <c r="C114" s="634" t="s">
        <v>478</v>
      </c>
      <c r="D114" s="635"/>
      <c r="E114" s="636">
        <f>E92*$E$101/1000000</f>
        <v>75227.63956341274</v>
      </c>
      <c r="F114" s="637" t="s">
        <v>446</v>
      </c>
      <c r="G114" s="638">
        <f>G92*$E$101/1000000</f>
        <v>0</v>
      </c>
      <c r="H114" s="639"/>
      <c r="I114" s="638">
        <f>I92*$E$101/1000000</f>
        <v>0</v>
      </c>
      <c r="J114" s="639"/>
      <c r="K114" s="640">
        <f>K92*$E$101/1000000</f>
        <v>0</v>
      </c>
      <c r="L114" s="641"/>
      <c r="M114" s="640">
        <f>M92*$E$101/1000000</f>
        <v>0</v>
      </c>
      <c r="N114" s="641"/>
      <c r="O114" s="640">
        <f>O92*$E$101/1000000</f>
        <v>0</v>
      </c>
      <c r="P114" s="641"/>
      <c r="Q114" s="642">
        <f>Q92*$E$101/1000000</f>
        <v>0</v>
      </c>
      <c r="R114" s="575"/>
      <c r="BW114" s="496" t="s">
        <v>581</v>
      </c>
      <c r="BX114" s="501">
        <f t="shared" si="21"/>
        <v>503.125</v>
      </c>
      <c r="BY114" s="501">
        <f t="shared" si="21"/>
        <v>2.0550000000000002</v>
      </c>
      <c r="BZ114" s="501">
        <f t="shared" si="21"/>
        <v>1.9379999999999999</v>
      </c>
      <c r="CA114" s="502">
        <f t="shared" si="22"/>
        <v>3386.000734843813</v>
      </c>
    </row>
    <row r="115" spans="3:95" ht="15" customHeight="1" x14ac:dyDescent="0.25">
      <c r="C115" s="643" t="s">
        <v>479</v>
      </c>
      <c r="D115" s="644"/>
      <c r="E115" s="645">
        <f>E$92/1000*$E102</f>
        <v>13510472.152734781</v>
      </c>
      <c r="F115" s="646" t="s">
        <v>480</v>
      </c>
      <c r="G115" s="645">
        <f>G$92/1000*$E102</f>
        <v>0</v>
      </c>
      <c r="H115" s="645"/>
      <c r="I115" s="645">
        <f>I$92/1000*$E102</f>
        <v>0</v>
      </c>
      <c r="J115" s="645"/>
      <c r="K115" s="647">
        <f>K$92/1000*$E102</f>
        <v>0</v>
      </c>
      <c r="L115" s="647"/>
      <c r="M115" s="647">
        <f>M$92/1000*$E102</f>
        <v>0</v>
      </c>
      <c r="N115" s="647"/>
      <c r="O115" s="647">
        <f>O$92/1000*$E102</f>
        <v>0</v>
      </c>
      <c r="P115" s="647"/>
      <c r="Q115" s="648">
        <f>Q$92/1000*$E102</f>
        <v>0</v>
      </c>
      <c r="R115" s="575"/>
      <c r="BW115" s="496" t="s">
        <v>623</v>
      </c>
      <c r="BX115" s="501">
        <f t="shared" si="21"/>
        <v>1043.645</v>
      </c>
      <c r="BY115" s="501">
        <f t="shared" si="21"/>
        <v>0.151</v>
      </c>
      <c r="BZ115" s="501">
        <f t="shared" si="21"/>
        <v>0.13800000000000001</v>
      </c>
      <c r="CA115" s="502">
        <f t="shared" si="22"/>
        <v>6373.8653196136956</v>
      </c>
    </row>
    <row r="116" spans="3:95" ht="15" customHeight="1" x14ac:dyDescent="0.25">
      <c r="C116" s="649" t="s">
        <v>481</v>
      </c>
      <c r="D116" s="650"/>
      <c r="E116" s="476">
        <f>E$92/1000*$E103</f>
        <v>10775.426212590297</v>
      </c>
      <c r="F116" s="413" t="s">
        <v>480</v>
      </c>
      <c r="G116" s="476">
        <f>G$92/1000*$E103</f>
        <v>0</v>
      </c>
      <c r="H116" s="476"/>
      <c r="I116" s="476">
        <f>I$92/1000*$E103</f>
        <v>0</v>
      </c>
      <c r="J116" s="476"/>
      <c r="K116" s="597">
        <f>K$92/1000*$E103</f>
        <v>0</v>
      </c>
      <c r="L116" s="597"/>
      <c r="M116" s="597">
        <f>M$92/1000*$E103</f>
        <v>0</v>
      </c>
      <c r="N116" s="597"/>
      <c r="O116" s="597">
        <f>O$92/1000*$E103</f>
        <v>0</v>
      </c>
      <c r="P116" s="597"/>
      <c r="Q116" s="598">
        <f>Q$92/1000*$E103</f>
        <v>0</v>
      </c>
      <c r="R116" s="575"/>
      <c r="BW116" s="496" t="s">
        <v>620</v>
      </c>
      <c r="BX116" s="501">
        <f t="shared" si="21"/>
        <v>527.86199999999997</v>
      </c>
      <c r="BY116" s="501">
        <f t="shared" si="21"/>
        <v>0.129</v>
      </c>
      <c r="BZ116" s="501">
        <f t="shared" si="21"/>
        <v>0.125</v>
      </c>
      <c r="CA116" s="502">
        <f t="shared" si="22"/>
        <v>4408.7126183373548</v>
      </c>
    </row>
    <row r="117" spans="3:95" ht="15" customHeight="1" thickBot="1" x14ac:dyDescent="0.3">
      <c r="C117" s="651" t="s">
        <v>482</v>
      </c>
      <c r="D117" s="652"/>
      <c r="E117" s="599">
        <f>E$92/1000*$E104</f>
        <v>12488.202270381829</v>
      </c>
      <c r="F117" s="585" t="s">
        <v>480</v>
      </c>
      <c r="G117" s="599">
        <f>G$92/1000*$E104</f>
        <v>0</v>
      </c>
      <c r="H117" s="599"/>
      <c r="I117" s="599">
        <f>I$92/1000*$E104</f>
        <v>0</v>
      </c>
      <c r="J117" s="599"/>
      <c r="K117" s="600">
        <f>K$92/1000*$E104</f>
        <v>0</v>
      </c>
      <c r="L117" s="600"/>
      <c r="M117" s="600">
        <f>M$92/1000*$E104</f>
        <v>0</v>
      </c>
      <c r="N117" s="600"/>
      <c r="O117" s="600">
        <f>O$92/1000*$E104</f>
        <v>0</v>
      </c>
      <c r="P117" s="600"/>
      <c r="Q117" s="602">
        <f>Q$92/1000*$E104</f>
        <v>0</v>
      </c>
      <c r="R117" s="575"/>
      <c r="BW117" s="496" t="s">
        <v>584</v>
      </c>
      <c r="BX117" s="501">
        <f t="shared" si="21"/>
        <v>1009.1559999999999</v>
      </c>
      <c r="BY117" s="501">
        <f t="shared" si="21"/>
        <v>8.6999999999999994E-2</v>
      </c>
      <c r="BZ117" s="501">
        <f t="shared" si="21"/>
        <v>8.5000000000000006E-2</v>
      </c>
      <c r="CA117" s="502">
        <f t="shared" si="22"/>
        <v>6294.7048330364059</v>
      </c>
    </row>
    <row r="118" spans="3:95" ht="15" customHeight="1" x14ac:dyDescent="0.25">
      <c r="C118" s="634" t="s">
        <v>483</v>
      </c>
      <c r="D118" s="635"/>
      <c r="E118" s="653">
        <f>E93</f>
        <v>0</v>
      </c>
      <c r="F118" s="654" t="s">
        <v>446</v>
      </c>
      <c r="G118" s="653">
        <f>G93</f>
        <v>36086.477093206944</v>
      </c>
      <c r="H118" s="635"/>
      <c r="I118" s="653">
        <f>I93</f>
        <v>57048.532894736847</v>
      </c>
      <c r="J118" s="635"/>
      <c r="K118" s="655">
        <f>K93</f>
        <v>55890.265587167072</v>
      </c>
      <c r="L118" s="656"/>
      <c r="M118" s="655">
        <f>M93</f>
        <v>33210.000000000007</v>
      </c>
      <c r="N118" s="656"/>
      <c r="O118" s="655">
        <f>O93</f>
        <v>0</v>
      </c>
      <c r="P118" s="656"/>
      <c r="Q118" s="657">
        <f>Q93</f>
        <v>0</v>
      </c>
      <c r="R118" s="575"/>
      <c r="BW118" s="496" t="s">
        <v>587</v>
      </c>
      <c r="BX118" s="501">
        <f t="shared" si="21"/>
        <v>1011.683</v>
      </c>
      <c r="BY118" s="501">
        <f t="shared" si="21"/>
        <v>7.2999999999999995E-2</v>
      </c>
      <c r="BZ118" s="501">
        <f t="shared" si="21"/>
        <v>7.2999999999999995E-2</v>
      </c>
      <c r="CA118" s="502">
        <f t="shared" si="22"/>
        <v>7261.9834355388866</v>
      </c>
      <c r="CP118" s="420"/>
      <c r="CQ118" s="420"/>
    </row>
    <row r="119" spans="3:95" ht="15" customHeight="1" x14ac:dyDescent="0.25">
      <c r="C119" s="643" t="s">
        <v>484</v>
      </c>
      <c r="D119" s="644"/>
      <c r="E119" s="645">
        <f>$E105*E$93</f>
        <v>0</v>
      </c>
      <c r="F119" s="646" t="s">
        <v>480</v>
      </c>
      <c r="G119" s="645">
        <f>$E105*G$93</f>
        <v>4245467.893318464</v>
      </c>
      <c r="H119" s="645"/>
      <c r="I119" s="645">
        <f>$E105*I$93</f>
        <v>6711592.1052631577</v>
      </c>
      <c r="J119" s="645"/>
      <c r="K119" s="647">
        <f>$E105*K$93</f>
        <v>6575325.3631961262</v>
      </c>
      <c r="L119" s="647"/>
      <c r="M119" s="647">
        <f>$E105*M$93</f>
        <v>3907058.8235294125</v>
      </c>
      <c r="N119" s="647"/>
      <c r="O119" s="647">
        <f>$E105*O$93</f>
        <v>0</v>
      </c>
      <c r="P119" s="647"/>
      <c r="Q119" s="648">
        <f>$E105*Q$93</f>
        <v>0</v>
      </c>
      <c r="R119" s="575"/>
      <c r="BW119" s="496" t="s">
        <v>590</v>
      </c>
      <c r="BX119" s="501">
        <f t="shared" si="21"/>
        <v>1152.0160000000001</v>
      </c>
      <c r="BY119" s="501">
        <f t="shared" si="21"/>
        <v>1.0149999999999999</v>
      </c>
      <c r="BZ119" s="501">
        <f t="shared" si="21"/>
        <v>0.996</v>
      </c>
      <c r="CA119" s="502">
        <f t="shared" si="22"/>
        <v>7335.8316834464813</v>
      </c>
    </row>
    <row r="120" spans="3:95" ht="15" customHeight="1" x14ac:dyDescent="0.25">
      <c r="C120" s="649" t="s">
        <v>485</v>
      </c>
      <c r="D120" s="650"/>
      <c r="E120" s="476">
        <f>$E106*E$93</f>
        <v>0</v>
      </c>
      <c r="F120" s="413" t="s">
        <v>480</v>
      </c>
      <c r="G120" s="476">
        <f>$E106*G$93</f>
        <v>21.227339466592319</v>
      </c>
      <c r="H120" s="476"/>
      <c r="I120" s="476">
        <f>$E106*I$93</f>
        <v>33.557960526315789</v>
      </c>
      <c r="J120" s="476"/>
      <c r="K120" s="597">
        <f>$E106*K$93</f>
        <v>32.876626815980629</v>
      </c>
      <c r="L120" s="597"/>
      <c r="M120" s="597">
        <f>$E106*M$93</f>
        <v>19.535294117647062</v>
      </c>
      <c r="N120" s="597"/>
      <c r="O120" s="597">
        <f>$E106*O$93</f>
        <v>0</v>
      </c>
      <c r="P120" s="597"/>
      <c r="Q120" s="598">
        <f>$E106*Q$93</f>
        <v>0</v>
      </c>
      <c r="R120" s="575"/>
      <c r="BW120" s="496" t="s">
        <v>592</v>
      </c>
      <c r="BX120" s="501">
        <f t="shared" si="21"/>
        <v>1662.8879999999999</v>
      </c>
      <c r="BY120" s="501">
        <f t="shared" si="21"/>
        <v>0.33500000000000002</v>
      </c>
      <c r="BZ120" s="501">
        <f t="shared" si="21"/>
        <v>0.31900000000000001</v>
      </c>
      <c r="CA120" s="502">
        <f t="shared" si="22"/>
        <v>10057.461688344933</v>
      </c>
    </row>
    <row r="121" spans="3:95" ht="15" customHeight="1" thickBot="1" x14ac:dyDescent="0.3">
      <c r="C121" s="651" t="s">
        <v>486</v>
      </c>
      <c r="D121" s="652"/>
      <c r="E121" s="599">
        <f>$E107*E$93</f>
        <v>0</v>
      </c>
      <c r="F121" s="585" t="s">
        <v>480</v>
      </c>
      <c r="G121" s="599">
        <f>$E107*G$93</f>
        <v>4453.8102991942778</v>
      </c>
      <c r="H121" s="599"/>
      <c r="I121" s="599">
        <f>$E107*I$93</f>
        <v>7040.9572733918139</v>
      </c>
      <c r="J121" s="599"/>
      <c r="K121" s="600">
        <f>$E107*K$93</f>
        <v>6898.003367130751</v>
      </c>
      <c r="L121" s="600"/>
      <c r="M121" s="600">
        <f>$E107*M$93</f>
        <v>4098.7941176470595</v>
      </c>
      <c r="N121" s="600"/>
      <c r="O121" s="600">
        <f>$E107*O$93</f>
        <v>0</v>
      </c>
      <c r="P121" s="600"/>
      <c r="Q121" s="602">
        <f>$E107*Q$93</f>
        <v>0</v>
      </c>
      <c r="R121" s="575"/>
      <c r="BW121" s="496" t="s">
        <v>594</v>
      </c>
      <c r="BX121" s="501">
        <f t="shared" si="21"/>
        <v>1668.212</v>
      </c>
      <c r="BY121" s="501">
        <f t="shared" si="21"/>
        <v>0.11600000000000001</v>
      </c>
      <c r="BZ121" s="501">
        <f t="shared" si="21"/>
        <v>0.114</v>
      </c>
      <c r="CA121" s="502">
        <f t="shared" si="22"/>
        <v>9056.3673834276942</v>
      </c>
    </row>
    <row r="122" spans="3:95" ht="15" customHeight="1" x14ac:dyDescent="0.25">
      <c r="C122" s="634" t="s">
        <v>487</v>
      </c>
      <c r="D122" s="635"/>
      <c r="E122" s="638">
        <f>E94/1000*$E$72</f>
        <v>0</v>
      </c>
      <c r="F122" s="637" t="s">
        <v>446</v>
      </c>
      <c r="G122" s="638">
        <f>G94/1000*$E$72</f>
        <v>0</v>
      </c>
      <c r="H122" s="639"/>
      <c r="I122" s="638">
        <f>I94/1000*$E$72</f>
        <v>0</v>
      </c>
      <c r="J122" s="639"/>
      <c r="K122" s="640">
        <f>K94/1000*$E$72</f>
        <v>0</v>
      </c>
      <c r="L122" s="641"/>
      <c r="M122" s="640">
        <f>M94/1000*$E$72</f>
        <v>0</v>
      </c>
      <c r="N122" s="641"/>
      <c r="O122" s="640">
        <f>O94/1000*$E$72</f>
        <v>0</v>
      </c>
      <c r="P122" s="641"/>
      <c r="Q122" s="642">
        <f>Q94/1000*$E$72</f>
        <v>0</v>
      </c>
      <c r="R122" s="575"/>
      <c r="BW122" s="496" t="s">
        <v>596</v>
      </c>
      <c r="BX122" s="501">
        <f t="shared" si="21"/>
        <v>1238.817</v>
      </c>
      <c r="BY122" s="501">
        <f t="shared" si="21"/>
        <v>0.16800000000000001</v>
      </c>
      <c r="BZ122" s="501">
        <f t="shared" si="21"/>
        <v>0.159</v>
      </c>
      <c r="CA122" s="502">
        <f t="shared" si="22"/>
        <v>6227.0866589282505</v>
      </c>
    </row>
    <row r="123" spans="3:95" ht="15" customHeight="1" x14ac:dyDescent="0.25">
      <c r="C123" s="643" t="s">
        <v>488</v>
      </c>
      <c r="D123" s="644"/>
      <c r="E123" s="645">
        <f>E$94*$E108/1000</f>
        <v>0</v>
      </c>
      <c r="F123" s="646" t="s">
        <v>480</v>
      </c>
      <c r="G123" s="645">
        <f>G$94*$E108/1000</f>
        <v>0</v>
      </c>
      <c r="H123" s="645"/>
      <c r="I123" s="645">
        <f>I$94*$E108/1000</f>
        <v>0</v>
      </c>
      <c r="J123" s="645"/>
      <c r="K123" s="647">
        <f>K$94*$E108/1000</f>
        <v>0</v>
      </c>
      <c r="L123" s="647"/>
      <c r="M123" s="647">
        <f>M$94*$E108/1000</f>
        <v>0</v>
      </c>
      <c r="N123" s="647"/>
      <c r="O123" s="647">
        <f>O$94*$E108/1000</f>
        <v>0</v>
      </c>
      <c r="P123" s="647"/>
      <c r="Q123" s="648">
        <f>Q$94*$E108/1000</f>
        <v>0</v>
      </c>
      <c r="R123" s="575"/>
      <c r="BW123" s="496" t="s">
        <v>600</v>
      </c>
      <c r="BX123" s="501">
        <f t="shared" si="21"/>
        <v>558.15599999999995</v>
      </c>
      <c r="BY123" s="501">
        <f t="shared" si="21"/>
        <v>7.4999999999999997E-2</v>
      </c>
      <c r="BZ123" s="501">
        <f t="shared" si="21"/>
        <v>6.7000000000000004E-2</v>
      </c>
      <c r="CA123" s="502">
        <f t="shared" si="22"/>
        <v>5175.8403051363639</v>
      </c>
    </row>
    <row r="124" spans="3:95" ht="15" customHeight="1" x14ac:dyDescent="0.25">
      <c r="C124" s="649" t="s">
        <v>489</v>
      </c>
      <c r="D124" s="650"/>
      <c r="E124" s="476">
        <f>E$94*$E109/1000</f>
        <v>0</v>
      </c>
      <c r="F124" s="413" t="s">
        <v>480</v>
      </c>
      <c r="G124" s="476">
        <f>G$94*$E109/1000</f>
        <v>0</v>
      </c>
      <c r="H124" s="476"/>
      <c r="I124" s="476">
        <f>I$94*$E109/1000</f>
        <v>0</v>
      </c>
      <c r="J124" s="476"/>
      <c r="K124" s="597">
        <f>K$94*$E109/1000</f>
        <v>0</v>
      </c>
      <c r="L124" s="597"/>
      <c r="M124" s="597">
        <f>M$94*$E109/1000</f>
        <v>0</v>
      </c>
      <c r="N124" s="597"/>
      <c r="O124" s="597">
        <f>O$94*$E109/1000</f>
        <v>0</v>
      </c>
      <c r="P124" s="597"/>
      <c r="Q124" s="598">
        <f>Q$94*$E109/1000</f>
        <v>0</v>
      </c>
      <c r="R124" s="575"/>
      <c r="BW124" s="496" t="s">
        <v>621</v>
      </c>
      <c r="BX124" s="501">
        <f t="shared" si="21"/>
        <v>651.19899999999996</v>
      </c>
      <c r="BY124" s="501">
        <f t="shared" si="21"/>
        <v>0.16300000000000001</v>
      </c>
      <c r="BZ124" s="501">
        <f t="shared" si="21"/>
        <v>0.16200000000000001</v>
      </c>
      <c r="CA124" s="502">
        <f t="shared" si="22"/>
        <v>3756.8497996601432</v>
      </c>
    </row>
    <row r="125" spans="3:95" ht="15" customHeight="1" thickBot="1" x14ac:dyDescent="0.3">
      <c r="C125" s="651" t="s">
        <v>490</v>
      </c>
      <c r="D125" s="652"/>
      <c r="E125" s="599">
        <f>E$94*$E110/1000</f>
        <v>0</v>
      </c>
      <c r="F125" s="585" t="s">
        <v>480</v>
      </c>
      <c r="G125" s="599">
        <f>G$94*$E110/1000</f>
        <v>0</v>
      </c>
      <c r="H125" s="599"/>
      <c r="I125" s="599">
        <f>I$94*$E110/1000</f>
        <v>0</v>
      </c>
      <c r="J125" s="599"/>
      <c r="K125" s="600">
        <f>K$94*$E110/1000</f>
        <v>0</v>
      </c>
      <c r="L125" s="600"/>
      <c r="M125" s="600">
        <f>M$94*$E110/1000</f>
        <v>0</v>
      </c>
      <c r="N125" s="600"/>
      <c r="O125" s="600">
        <f>O$94*$E110/1000</f>
        <v>0</v>
      </c>
      <c r="P125" s="600"/>
      <c r="Q125" s="602">
        <f>Q$94*$E110/1000</f>
        <v>0</v>
      </c>
      <c r="R125" s="575"/>
      <c r="BW125" s="496" t="s">
        <v>602</v>
      </c>
      <c r="BX125" s="501">
        <f t="shared" si="21"/>
        <v>635.80999999999995</v>
      </c>
      <c r="BY125" s="501">
        <f t="shared" si="21"/>
        <v>4.8000000000000001E-2</v>
      </c>
      <c r="BZ125" s="501">
        <f t="shared" si="21"/>
        <v>5.3999999999999999E-2</v>
      </c>
      <c r="CA125" s="502">
        <f t="shared" si="22"/>
        <v>5363.5995379774722</v>
      </c>
    </row>
    <row r="126" spans="3:95" ht="15" customHeight="1" x14ac:dyDescent="0.25">
      <c r="C126" s="634" t="s">
        <v>491</v>
      </c>
      <c r="D126" s="635"/>
      <c r="E126" s="638">
        <f>E95/1000*$E$76</f>
        <v>0</v>
      </c>
      <c r="F126" s="637" t="s">
        <v>446</v>
      </c>
      <c r="G126" s="638">
        <f>G95/1000*$E$76</f>
        <v>0</v>
      </c>
      <c r="H126" s="639"/>
      <c r="I126" s="638">
        <f>I95/1000*$E$76</f>
        <v>0</v>
      </c>
      <c r="J126" s="639"/>
      <c r="K126" s="640">
        <f>K95/1000*$E$76</f>
        <v>0</v>
      </c>
      <c r="L126" s="641"/>
      <c r="M126" s="640">
        <f>M95/1000*$E$76</f>
        <v>0</v>
      </c>
      <c r="N126" s="641"/>
      <c r="O126" s="640">
        <f>O95/1000*$E$76</f>
        <v>0</v>
      </c>
      <c r="P126" s="641"/>
      <c r="Q126" s="642">
        <f>Q95/1000*$E$76</f>
        <v>0</v>
      </c>
      <c r="R126" s="575"/>
      <c r="BW126" s="496" t="s">
        <v>598</v>
      </c>
      <c r="BX126" s="501">
        <f t="shared" si="21"/>
        <v>1178.3219999999999</v>
      </c>
      <c r="BY126" s="501">
        <f t="shared" si="21"/>
        <v>8.5999999999999993E-2</v>
      </c>
      <c r="BZ126" s="501">
        <f t="shared" si="21"/>
        <v>8.1000000000000003E-2</v>
      </c>
      <c r="CA126" s="502">
        <f t="shared" si="22"/>
        <v>10055.230345589624</v>
      </c>
    </row>
    <row r="127" spans="3:95" ht="15" customHeight="1" x14ac:dyDescent="0.25">
      <c r="C127" s="643" t="s">
        <v>492</v>
      </c>
      <c r="D127" s="644"/>
      <c r="E127" s="645">
        <f>E$95*$E111/1000</f>
        <v>0</v>
      </c>
      <c r="F127" s="646" t="s">
        <v>480</v>
      </c>
      <c r="G127" s="645">
        <f>G$95*$E111/1000</f>
        <v>0</v>
      </c>
      <c r="H127" s="645"/>
      <c r="I127" s="645">
        <f>I$95*$E111/1000</f>
        <v>0</v>
      </c>
      <c r="J127" s="645"/>
      <c r="K127" s="647">
        <f>K$95*$E111/1000</f>
        <v>0</v>
      </c>
      <c r="L127" s="647"/>
      <c r="M127" s="647">
        <f>M$95*$E111/1000</f>
        <v>0</v>
      </c>
      <c r="N127" s="647"/>
      <c r="O127" s="647">
        <f>O$95*$E111/1000</f>
        <v>0</v>
      </c>
      <c r="P127" s="647"/>
      <c r="Q127" s="648">
        <f>Q$95*$E111/1000</f>
        <v>0</v>
      </c>
      <c r="R127" s="575"/>
      <c r="BW127" s="496" t="s">
        <v>604</v>
      </c>
      <c r="BX127" s="501">
        <f t="shared" si="21"/>
        <v>294.661</v>
      </c>
      <c r="BY127" s="501">
        <f t="shared" si="21"/>
        <v>0.11700000000000001</v>
      </c>
      <c r="BZ127" s="501">
        <f t="shared" si="21"/>
        <v>0.109</v>
      </c>
      <c r="CA127" s="502">
        <f t="shared" si="22"/>
        <v>2509.3799553999675</v>
      </c>
    </row>
    <row r="128" spans="3:95" ht="15" customHeight="1" collapsed="1" x14ac:dyDescent="0.25">
      <c r="C128" s="649" t="s">
        <v>493</v>
      </c>
      <c r="D128" s="650"/>
      <c r="E128" s="476">
        <f>E$95*$E112/1000</f>
        <v>0</v>
      </c>
      <c r="F128" s="413" t="s">
        <v>480</v>
      </c>
      <c r="G128" s="476">
        <f>G$95*$E112/1000</f>
        <v>0</v>
      </c>
      <c r="H128" s="476"/>
      <c r="I128" s="476">
        <f>I$95*$E112/1000</f>
        <v>0</v>
      </c>
      <c r="J128" s="476"/>
      <c r="K128" s="597">
        <f>K$95*$E112/1000</f>
        <v>0</v>
      </c>
      <c r="L128" s="597"/>
      <c r="M128" s="597">
        <f>M$95*$E112/1000</f>
        <v>0</v>
      </c>
      <c r="N128" s="597"/>
      <c r="O128" s="597">
        <f>O$95*$E112/1000</f>
        <v>0</v>
      </c>
      <c r="P128" s="597"/>
      <c r="Q128" s="598">
        <f>Q$95*$E112/1000</f>
        <v>0</v>
      </c>
      <c r="R128" s="575"/>
      <c r="BW128" s="496" t="s">
        <v>606</v>
      </c>
      <c r="BX128" s="501">
        <f t="shared" si="21"/>
        <v>758.178</v>
      </c>
      <c r="BY128" s="501">
        <f t="shared" si="21"/>
        <v>0.11600000000000001</v>
      </c>
      <c r="BZ128" s="501">
        <f t="shared" si="21"/>
        <v>0.10100000000000001</v>
      </c>
      <c r="CA128" s="502">
        <f t="shared" si="22"/>
        <v>5080.6942210741199</v>
      </c>
    </row>
    <row r="129" spans="3:95" ht="15" customHeight="1" thickBot="1" x14ac:dyDescent="0.3">
      <c r="C129" s="651" t="s">
        <v>494</v>
      </c>
      <c r="D129" s="652"/>
      <c r="E129" s="599">
        <f>E$95*$E113/1000</f>
        <v>0</v>
      </c>
      <c r="F129" s="585" t="s">
        <v>480</v>
      </c>
      <c r="G129" s="599">
        <f>G$95*$E113/1000</f>
        <v>0</v>
      </c>
      <c r="H129" s="599"/>
      <c r="I129" s="599">
        <f>I$95*$E113/1000</f>
        <v>0</v>
      </c>
      <c r="J129" s="599"/>
      <c r="K129" s="600">
        <f>K$95*$E113/1000</f>
        <v>0</v>
      </c>
      <c r="L129" s="600"/>
      <c r="M129" s="600">
        <f>M$95*$E113/1000</f>
        <v>0</v>
      </c>
      <c r="N129" s="600"/>
      <c r="O129" s="600">
        <f>O$95*$E113/1000</f>
        <v>0</v>
      </c>
      <c r="P129" s="600"/>
      <c r="Q129" s="602">
        <f>Q$95*$E113/1000</f>
        <v>0</v>
      </c>
      <c r="R129" s="575"/>
      <c r="BW129" s="496" t="s">
        <v>609</v>
      </c>
      <c r="BX129" s="501">
        <f t="shared" si="21"/>
        <v>1272.0450000000001</v>
      </c>
      <c r="BY129" s="501">
        <f t="shared" si="21"/>
        <v>0.122</v>
      </c>
      <c r="BZ129" s="501">
        <f t="shared" si="21"/>
        <v>0.115</v>
      </c>
      <c r="CA129" s="502">
        <f t="shared" si="22"/>
        <v>7392.332510600927</v>
      </c>
    </row>
    <row r="130" spans="3:95" ht="15" customHeight="1" x14ac:dyDescent="0.25">
      <c r="C130" s="658" t="s">
        <v>495</v>
      </c>
      <c r="D130" s="659"/>
      <c r="E130" s="590">
        <f>E115+E119+E123+E127</f>
        <v>13510472.152734781</v>
      </c>
      <c r="F130" s="591" t="s">
        <v>480</v>
      </c>
      <c r="G130" s="590">
        <f>G115+G119+G123+G127</f>
        <v>4245467.893318464</v>
      </c>
      <c r="H130" s="590"/>
      <c r="I130" s="590">
        <f>I115+I119+I123+I127</f>
        <v>6711592.1052631577</v>
      </c>
      <c r="J130" s="590"/>
      <c r="K130" s="592">
        <f>K115+K119+K123+K127</f>
        <v>6575325.3631961262</v>
      </c>
      <c r="L130" s="592"/>
      <c r="M130" s="592">
        <f>M115+M119+M123+M127</f>
        <v>3907058.8235294125</v>
      </c>
      <c r="N130" s="592"/>
      <c r="O130" s="592">
        <f>O115+O119+O123+O127</f>
        <v>0</v>
      </c>
      <c r="P130" s="592"/>
      <c r="Q130" s="594">
        <f>Q115+Q119+Q123+Q127</f>
        <v>0</v>
      </c>
      <c r="R130" s="575"/>
      <c r="BW130" s="496" t="s">
        <v>610</v>
      </c>
      <c r="BX130" s="501">
        <f t="shared" si="21"/>
        <v>1243.4390000000001</v>
      </c>
      <c r="BY130" s="501">
        <f t="shared" si="21"/>
        <v>0.14299999999999999</v>
      </c>
      <c r="BZ130" s="501">
        <f t="shared" si="21"/>
        <v>0.13500000000000001</v>
      </c>
      <c r="CA130" s="502">
        <f t="shared" si="22"/>
        <v>6621.7493080315699</v>
      </c>
    </row>
    <row r="131" spans="3:95" ht="15" customHeight="1" x14ac:dyDescent="0.25">
      <c r="C131" s="649" t="s">
        <v>496</v>
      </c>
      <c r="D131" s="650"/>
      <c r="E131" s="476">
        <f>E116+E120+E124+E128</f>
        <v>10775.426212590297</v>
      </c>
      <c r="F131" s="413" t="s">
        <v>480</v>
      </c>
      <c r="G131" s="476">
        <f>G116+G120+G124+G128</f>
        <v>21.227339466592319</v>
      </c>
      <c r="H131" s="476"/>
      <c r="I131" s="476">
        <f>I116+I120+I124+I128</f>
        <v>33.557960526315789</v>
      </c>
      <c r="J131" s="476"/>
      <c r="K131" s="597">
        <f>K116+K120+K124+K128</f>
        <v>32.876626815980629</v>
      </c>
      <c r="L131" s="597"/>
      <c r="M131" s="597">
        <f>M116+M120+M124+M128</f>
        <v>19.535294117647062</v>
      </c>
      <c r="N131" s="597"/>
      <c r="O131" s="597">
        <f>O116+O120+O124+O128</f>
        <v>0</v>
      </c>
      <c r="P131" s="597"/>
      <c r="Q131" s="598">
        <f>Q116+Q120+Q124+Q128</f>
        <v>0</v>
      </c>
      <c r="R131" s="575"/>
      <c r="BW131" s="496" t="s">
        <v>622</v>
      </c>
      <c r="BX131" s="501">
        <f t="shared" si="21"/>
        <v>1367.768</v>
      </c>
      <c r="BY131" s="501">
        <f t="shared" si="21"/>
        <v>0.13900000000000001</v>
      </c>
      <c r="BZ131" s="501">
        <f t="shared" si="21"/>
        <v>0.13500000000000001</v>
      </c>
      <c r="CA131" s="502">
        <f t="shared" si="22"/>
        <v>7283.7282147747655</v>
      </c>
    </row>
    <row r="132" spans="3:95" ht="15" customHeight="1" thickBot="1" x14ac:dyDescent="0.3">
      <c r="C132" s="651" t="s">
        <v>497</v>
      </c>
      <c r="D132" s="652"/>
      <c r="E132" s="599">
        <f>E117+E121+E125+E129</f>
        <v>12488.202270381829</v>
      </c>
      <c r="F132" s="585" t="s">
        <v>480</v>
      </c>
      <c r="G132" s="599">
        <f>G117+G121+G125+G129</f>
        <v>4453.8102991942778</v>
      </c>
      <c r="H132" s="599"/>
      <c r="I132" s="599">
        <f>I117+I121+I125+I129</f>
        <v>7040.9572733918139</v>
      </c>
      <c r="J132" s="599"/>
      <c r="K132" s="600">
        <f>K117+K121+K125+K129</f>
        <v>6898.003367130751</v>
      </c>
      <c r="L132" s="600"/>
      <c r="M132" s="600">
        <f>M117+M121+M125+M129</f>
        <v>4098.7941176470595</v>
      </c>
      <c r="N132" s="600"/>
      <c r="O132" s="600">
        <f>O117+O121+O125+O129</f>
        <v>0</v>
      </c>
      <c r="P132" s="600"/>
      <c r="Q132" s="602">
        <f>Q117+Q121+Q125+Q129</f>
        <v>0</v>
      </c>
      <c r="R132" s="575"/>
      <c r="BW132" s="496" t="s">
        <v>618</v>
      </c>
      <c r="BX132" s="501">
        <f t="shared" si="21"/>
        <v>1412.35</v>
      </c>
      <c r="BY132" s="501">
        <f t="shared" si="21"/>
        <v>0.113</v>
      </c>
      <c r="BZ132" s="501">
        <f t="shared" si="21"/>
        <v>0.11700000000000001</v>
      </c>
      <c r="CA132" s="502">
        <f t="shared" si="22"/>
        <v>7100.7445718681174</v>
      </c>
    </row>
    <row r="133" spans="3:95" ht="15" customHeight="1" x14ac:dyDescent="0.25">
      <c r="C133" s="658" t="s">
        <v>498</v>
      </c>
      <c r="D133" s="659"/>
      <c r="E133" s="590">
        <f>-(E130-$E130)</f>
        <v>0</v>
      </c>
      <c r="F133" s="591" t="s">
        <v>480</v>
      </c>
      <c r="G133" s="590">
        <f>-(G130-$E130)</f>
        <v>9265004.2594163157</v>
      </c>
      <c r="H133" s="590"/>
      <c r="I133" s="590">
        <f>-(I130-$E130)</f>
        <v>6798880.0474716229</v>
      </c>
      <c r="J133" s="590"/>
      <c r="K133" s="592">
        <f>-(K130-$E130)</f>
        <v>6935146.7895386545</v>
      </c>
      <c r="L133" s="592"/>
      <c r="M133" s="592">
        <f>-(M130-$E130)</f>
        <v>9603413.3292053677</v>
      </c>
      <c r="N133" s="592"/>
      <c r="O133" s="592">
        <f>-(O130-$E130)</f>
        <v>13510472.152734781</v>
      </c>
      <c r="P133" s="592"/>
      <c r="Q133" s="594">
        <f>-(Q130-$E130)</f>
        <v>13510472.152734781</v>
      </c>
      <c r="R133" s="575"/>
      <c r="BW133" s="496" t="s">
        <v>619</v>
      </c>
      <c r="BX133" s="501">
        <f t="shared" si="21"/>
        <v>1248.329</v>
      </c>
      <c r="BY133" s="501">
        <f t="shared" si="21"/>
        <v>0.114</v>
      </c>
      <c r="BZ133" s="501">
        <f t="shared" si="21"/>
        <v>0.114</v>
      </c>
      <c r="CA133" s="502">
        <f t="shared" si="22"/>
        <v>7454.2393009652442</v>
      </c>
    </row>
    <row r="134" spans="3:95" ht="15" customHeight="1" x14ac:dyDescent="0.25">
      <c r="C134" s="649" t="s">
        <v>499</v>
      </c>
      <c r="D134" s="650"/>
      <c r="E134" s="476">
        <f>-(E131-$E131)</f>
        <v>0</v>
      </c>
      <c r="F134" s="413" t="s">
        <v>480</v>
      </c>
      <c r="G134" s="476">
        <f>-(G131-$E131)</f>
        <v>10754.198873123705</v>
      </c>
      <c r="H134" s="476"/>
      <c r="I134" s="476">
        <f>-(I131-$E131)</f>
        <v>10741.868252063981</v>
      </c>
      <c r="J134" s="476"/>
      <c r="K134" s="597">
        <f>-(K131-$E131)</f>
        <v>10742.549585774317</v>
      </c>
      <c r="L134" s="597"/>
      <c r="M134" s="597">
        <f>-(M131-$E131)</f>
        <v>10755.890918472649</v>
      </c>
      <c r="N134" s="597"/>
      <c r="O134" s="597">
        <f>-(O131-$E131)</f>
        <v>10775.426212590297</v>
      </c>
      <c r="P134" s="597"/>
      <c r="Q134" s="598">
        <f>-(Q131-$E131)</f>
        <v>10775.426212590297</v>
      </c>
      <c r="R134" s="575"/>
      <c r="BW134" s="496" t="s">
        <v>614</v>
      </c>
      <c r="BX134" s="501">
        <f t="shared" si="21"/>
        <v>838.88900000000001</v>
      </c>
      <c r="BY134" s="501">
        <f t="shared" si="21"/>
        <v>0.13200000000000001</v>
      </c>
      <c r="BZ134" s="501">
        <f t="shared" si="21"/>
        <v>0.14199999999999999</v>
      </c>
      <c r="CA134" s="502">
        <f t="shared" si="22"/>
        <v>6065.1074709754448</v>
      </c>
    </row>
    <row r="135" spans="3:95" ht="15" customHeight="1" thickBot="1" x14ac:dyDescent="0.3">
      <c r="C135" s="651" t="s">
        <v>500</v>
      </c>
      <c r="D135" s="652"/>
      <c r="E135" s="599">
        <f>-(E132-$E132)</f>
        <v>0</v>
      </c>
      <c r="F135" s="585" t="s">
        <v>480</v>
      </c>
      <c r="G135" s="599">
        <f>-(G132-$E132)</f>
        <v>8034.3919711875515</v>
      </c>
      <c r="H135" s="599"/>
      <c r="I135" s="599">
        <f>-(I132-$E132)</f>
        <v>5447.2449969900154</v>
      </c>
      <c r="J135" s="599"/>
      <c r="K135" s="600">
        <f>-(K132-$E132)</f>
        <v>5590.1989032510783</v>
      </c>
      <c r="L135" s="600"/>
      <c r="M135" s="600">
        <f>-(M132-$E132)</f>
        <v>8389.4081527347698</v>
      </c>
      <c r="N135" s="600"/>
      <c r="O135" s="600">
        <f>-(O132-$E132)</f>
        <v>12488.202270381829</v>
      </c>
      <c r="P135" s="600"/>
      <c r="Q135" s="602">
        <f>-(Q132-$E132)</f>
        <v>12488.202270381829</v>
      </c>
      <c r="R135" s="575"/>
      <c r="BW135" s="496" t="s">
        <v>613</v>
      </c>
      <c r="BX135" s="501">
        <f t="shared" si="21"/>
        <v>1612.59</v>
      </c>
      <c r="BY135" s="501">
        <f t="shared" si="21"/>
        <v>0.14199999999999999</v>
      </c>
      <c r="BZ135" s="501">
        <f t="shared" si="21"/>
        <v>0.13500000000000001</v>
      </c>
      <c r="CA135" s="502">
        <f t="shared" si="22"/>
        <v>8002.0516035485534</v>
      </c>
    </row>
    <row r="136" spans="3:95" ht="15" customHeight="1" x14ac:dyDescent="0.25">
      <c r="C136" s="658" t="s">
        <v>501</v>
      </c>
      <c r="D136" s="659"/>
      <c r="E136" s="604">
        <f>E133/2000/1.1023</f>
        <v>0</v>
      </c>
      <c r="F136" s="591" t="s">
        <v>502</v>
      </c>
      <c r="G136" s="660">
        <f>G133/2000/1.1023</f>
        <v>4202.5783631571776</v>
      </c>
      <c r="H136" s="660"/>
      <c r="I136" s="660">
        <f t="shared" ref="I136:Q136" si="23">I133/2000/1.1023</f>
        <v>3083.95175880959</v>
      </c>
      <c r="J136" s="660"/>
      <c r="K136" s="661">
        <f t="shared" si="23"/>
        <v>3145.7619475363576</v>
      </c>
      <c r="L136" s="661"/>
      <c r="M136" s="661">
        <f t="shared" si="23"/>
        <v>4356.0797102446559</v>
      </c>
      <c r="N136" s="661"/>
      <c r="O136" s="661">
        <f t="shared" si="23"/>
        <v>6128.309966767114</v>
      </c>
      <c r="P136" s="661"/>
      <c r="Q136" s="662">
        <f t="shared" si="23"/>
        <v>6128.309966767114</v>
      </c>
      <c r="R136" s="575"/>
      <c r="BW136" s="496" t="s">
        <v>615</v>
      </c>
      <c r="BX136" s="501">
        <f t="shared" si="21"/>
        <v>1089.374</v>
      </c>
      <c r="BY136" s="501">
        <f t="shared" si="21"/>
        <v>7.2999999999999995E-2</v>
      </c>
      <c r="BZ136" s="501">
        <f t="shared" si="21"/>
        <v>6.0999999999999999E-2</v>
      </c>
      <c r="CA136" s="502">
        <f t="shared" si="22"/>
        <v>6957.3657892112169</v>
      </c>
    </row>
    <row r="137" spans="3:95" ht="15" customHeight="1" x14ac:dyDescent="0.25">
      <c r="C137" s="649" t="s">
        <v>503</v>
      </c>
      <c r="D137" s="650"/>
      <c r="E137" s="443">
        <f>E136/$E$81</f>
        <v>0</v>
      </c>
      <c r="F137" s="413" t="s">
        <v>504</v>
      </c>
      <c r="G137" s="663">
        <f>G136/$E$81</f>
        <v>888.49436853217276</v>
      </c>
      <c r="H137" s="663"/>
      <c r="I137" s="663">
        <f>I136/$E$81</f>
        <v>651.99825767644609</v>
      </c>
      <c r="J137" s="663"/>
      <c r="K137" s="664">
        <f>K136/$E$81</f>
        <v>665.06595085335255</v>
      </c>
      <c r="L137" s="664"/>
      <c r="M137" s="664">
        <f>M136/$E$81</f>
        <v>920.94708461832045</v>
      </c>
      <c r="N137" s="664"/>
      <c r="O137" s="664">
        <f>O136/$E$81</f>
        <v>1295.6257857858591</v>
      </c>
      <c r="P137" s="664"/>
      <c r="Q137" s="665">
        <f>Q136/$E$81</f>
        <v>1295.6257857858591</v>
      </c>
      <c r="R137" s="575"/>
      <c r="BW137" s="496" t="s">
        <v>616</v>
      </c>
      <c r="BX137" s="501">
        <f t="shared" si="21"/>
        <v>1185.433</v>
      </c>
      <c r="BY137" s="501">
        <f t="shared" si="21"/>
        <v>0.11</v>
      </c>
      <c r="BZ137" s="501">
        <f t="shared" si="21"/>
        <v>0.105</v>
      </c>
      <c r="CA137" s="502">
        <f t="shared" si="22"/>
        <v>6525.950935105222</v>
      </c>
    </row>
    <row r="138" spans="3:95" ht="15" customHeight="1" thickBot="1" x14ac:dyDescent="0.3">
      <c r="C138" s="651" t="s">
        <v>505</v>
      </c>
      <c r="D138" s="652"/>
      <c r="E138" s="586">
        <f>E136/$E$82</f>
        <v>0</v>
      </c>
      <c r="F138" s="585" t="s">
        <v>506</v>
      </c>
      <c r="G138" s="666">
        <f>G136/$E$82</f>
        <v>620.58156573496422</v>
      </c>
      <c r="H138" s="666"/>
      <c r="I138" s="666">
        <f>I136/$E$82</f>
        <v>455.39748358086086</v>
      </c>
      <c r="J138" s="666"/>
      <c r="K138" s="667">
        <f>K136/$E$82</f>
        <v>464.52480028593584</v>
      </c>
      <c r="L138" s="667"/>
      <c r="M138" s="667">
        <f>M136/$E$82</f>
        <v>643.24862821096508</v>
      </c>
      <c r="N138" s="667"/>
      <c r="O138" s="667">
        <f>O136/$E$82</f>
        <v>904.94831169035945</v>
      </c>
      <c r="P138" s="667"/>
      <c r="Q138" s="668">
        <f>Q136/$E$82</f>
        <v>904.94831169035945</v>
      </c>
      <c r="R138" s="575"/>
      <c r="BW138" s="496" t="s">
        <v>617</v>
      </c>
      <c r="BX138" s="501">
        <f t="shared" si="21"/>
        <v>805.28499999999997</v>
      </c>
      <c r="BY138" s="501">
        <f t="shared" si="21"/>
        <v>9.2999999999999999E-2</v>
      </c>
      <c r="BZ138" s="501">
        <f t="shared" si="21"/>
        <v>8.8999999999999996E-2</v>
      </c>
      <c r="CA138" s="502">
        <f t="shared" si="22"/>
        <v>5157.6542185683193</v>
      </c>
    </row>
    <row r="139" spans="3:95" ht="15" customHeight="1" x14ac:dyDescent="0.25">
      <c r="K139" s="575"/>
      <c r="L139" s="575"/>
      <c r="M139" s="575"/>
      <c r="N139" s="575"/>
      <c r="O139" s="575"/>
      <c r="P139" s="575"/>
      <c r="Q139" s="575"/>
      <c r="R139" s="575"/>
      <c r="BW139" s="496" t="s">
        <v>579</v>
      </c>
      <c r="BX139" s="501">
        <f t="shared" si="21"/>
        <v>939.70600000000002</v>
      </c>
      <c r="BY139" s="501">
        <f t="shared" si="21"/>
        <v>0.98499999999999999</v>
      </c>
      <c r="BZ139" s="501">
        <f t="shared" si="21"/>
        <v>0.96099999999999997</v>
      </c>
      <c r="CA139" s="502">
        <f t="shared" si="22"/>
        <v>6819.0523288731893</v>
      </c>
      <c r="CP139" s="420"/>
      <c r="CQ139" s="420"/>
    </row>
    <row r="140" spans="3:95" ht="15" customHeight="1" x14ac:dyDescent="0.25">
      <c r="K140" s="575"/>
      <c r="L140" s="575"/>
      <c r="M140" s="575"/>
      <c r="N140" s="575"/>
      <c r="O140" s="575"/>
      <c r="P140" s="575"/>
      <c r="Q140" s="575"/>
      <c r="R140" s="575"/>
      <c r="BW140" s="496" t="s">
        <v>582</v>
      </c>
      <c r="BX140" s="501">
        <f t="shared" si="21"/>
        <v>1011.683</v>
      </c>
      <c r="BY140" s="501">
        <f t="shared" si="21"/>
        <v>7.2999999999999995E-2</v>
      </c>
      <c r="BZ140" s="501">
        <f t="shared" si="21"/>
        <v>7.2999999999999995E-2</v>
      </c>
      <c r="CA140" s="502">
        <f t="shared" si="22"/>
        <v>7261.9834355388866</v>
      </c>
      <c r="CP140" s="420"/>
      <c r="CQ140" s="420"/>
    </row>
    <row r="141" spans="3:95" ht="15" customHeight="1" x14ac:dyDescent="0.25">
      <c r="K141" s="575"/>
      <c r="L141" s="575"/>
      <c r="M141" s="575"/>
      <c r="N141" s="575"/>
      <c r="O141" s="575"/>
      <c r="P141" s="575"/>
      <c r="Q141" s="575"/>
      <c r="R141" s="575"/>
      <c r="BW141" s="496" t="s">
        <v>585</v>
      </c>
      <c r="BX141" s="501">
        <f t="shared" si="21"/>
        <v>1522.1020000000001</v>
      </c>
      <c r="BY141" s="501">
        <f t="shared" si="21"/>
        <v>0.48299999999999998</v>
      </c>
      <c r="BZ141" s="501">
        <f t="shared" si="21"/>
        <v>0.46100000000000002</v>
      </c>
      <c r="CA141" s="502">
        <f t="shared" si="22"/>
        <v>9307.4346033510137</v>
      </c>
      <c r="CP141" s="420"/>
      <c r="CQ141" s="420"/>
    </row>
    <row r="142" spans="3:95" ht="15" customHeight="1" x14ac:dyDescent="0.25">
      <c r="K142" s="575"/>
      <c r="L142" s="575"/>
      <c r="M142" s="575"/>
      <c r="N142" s="575"/>
      <c r="O142" s="575"/>
      <c r="P142" s="575"/>
      <c r="Q142" s="575"/>
      <c r="R142" s="575"/>
      <c r="BW142" s="496" t="s">
        <v>588</v>
      </c>
      <c r="BX142" s="501">
        <f t="shared" si="21"/>
        <v>1220.7249999999999</v>
      </c>
      <c r="BY142" s="501">
        <f t="shared" si="21"/>
        <v>0.16500000000000001</v>
      </c>
      <c r="BZ142" s="501">
        <f t="shared" si="21"/>
        <v>0.156</v>
      </c>
      <c r="CA142" s="502">
        <f t="shared" si="22"/>
        <v>6237.0201492744118</v>
      </c>
      <c r="CP142" s="420"/>
      <c r="CQ142" s="420"/>
    </row>
    <row r="143" spans="3:95" ht="15" customHeight="1" x14ac:dyDescent="0.25">
      <c r="BW143" s="496" t="s">
        <v>591</v>
      </c>
      <c r="BX143" s="501">
        <f t="shared" si="21"/>
        <v>81.31</v>
      </c>
      <c r="BY143" s="501">
        <f t="shared" si="21"/>
        <v>3.323</v>
      </c>
      <c r="BZ143" s="501">
        <f t="shared" si="21"/>
        <v>3.323</v>
      </c>
      <c r="CA143" s="502">
        <f t="shared" si="22"/>
        <v>497.84185823611261</v>
      </c>
      <c r="CP143" s="420"/>
      <c r="CQ143" s="420"/>
    </row>
    <row r="144" spans="3:95" ht="15" customHeight="1" x14ac:dyDescent="0.25">
      <c r="BW144" s="496" t="s">
        <v>593</v>
      </c>
      <c r="BX144" s="501">
        <f t="shared" si="21"/>
        <v>505.89499999999998</v>
      </c>
      <c r="BY144" s="501">
        <f t="shared" si="21"/>
        <v>8.1000000000000003E-2</v>
      </c>
      <c r="BZ144" s="501">
        <f t="shared" si="21"/>
        <v>7.5999999999999998E-2</v>
      </c>
      <c r="CA144" s="502">
        <f t="shared" si="22"/>
        <v>4490.2409968095744</v>
      </c>
      <c r="CP144" s="420"/>
      <c r="CQ144" s="420"/>
    </row>
    <row r="145" spans="75:95" ht="15" customHeight="1" x14ac:dyDescent="0.25">
      <c r="BW145" s="496" t="s">
        <v>595</v>
      </c>
      <c r="BX145" s="501">
        <f t="shared" si="21"/>
        <v>1104.4349999999999</v>
      </c>
      <c r="BY145" s="501">
        <f t="shared" si="21"/>
        <v>0.13200000000000001</v>
      </c>
      <c r="BZ145" s="501">
        <f t="shared" si="21"/>
        <v>0.122</v>
      </c>
      <c r="CA145" s="502">
        <f t="shared" si="22"/>
        <v>6273.4291652998345</v>
      </c>
      <c r="CP145" s="420"/>
      <c r="CQ145" s="420"/>
    </row>
    <row r="146" spans="75:95" ht="15" customHeight="1" x14ac:dyDescent="0.25">
      <c r="BW146" s="496" t="s">
        <v>597</v>
      </c>
      <c r="BX146" s="501">
        <f t="shared" si="21"/>
        <v>1035.0340000000001</v>
      </c>
      <c r="BY146" s="501">
        <f t="shared" si="21"/>
        <v>0.104</v>
      </c>
      <c r="BZ146" s="501">
        <f t="shared" si="21"/>
        <v>9.9000000000000005E-2</v>
      </c>
      <c r="CA146" s="502">
        <f t="shared" si="22"/>
        <v>6282.8991191304422</v>
      </c>
      <c r="CP146" s="420"/>
      <c r="CQ146" s="420"/>
    </row>
    <row r="147" spans="75:95" ht="15" customHeight="1" x14ac:dyDescent="0.25">
      <c r="BW147" s="496" t="s">
        <v>599</v>
      </c>
      <c r="BX147" s="501">
        <f t="shared" si="21"/>
        <v>1270.8920000000001</v>
      </c>
      <c r="BY147" s="501">
        <f t="shared" si="21"/>
        <v>0.113</v>
      </c>
      <c r="BZ147" s="501">
        <f t="shared" si="21"/>
        <v>0.113</v>
      </c>
      <c r="CA147" s="502">
        <f t="shared" si="22"/>
        <v>7253.1397281355275</v>
      </c>
      <c r="CP147" s="420"/>
      <c r="CQ147" s="420"/>
    </row>
    <row r="148" spans="75:95" ht="15" customHeight="1" x14ac:dyDescent="0.25">
      <c r="BW148" s="496" t="s">
        <v>601</v>
      </c>
      <c r="BX148" s="501">
        <f t="shared" si="21"/>
        <v>1014.713</v>
      </c>
      <c r="BY148" s="501">
        <f t="shared" si="21"/>
        <v>8.6999999999999994E-2</v>
      </c>
      <c r="BZ148" s="501">
        <f t="shared" si="21"/>
        <v>8.5999999999999993E-2</v>
      </c>
      <c r="CA148" s="502">
        <f t="shared" si="22"/>
        <v>6300.4354225531833</v>
      </c>
      <c r="CP148" s="420"/>
      <c r="CQ148" s="420"/>
    </row>
    <row r="149" spans="75:95" ht="15" customHeight="1" x14ac:dyDescent="0.25">
      <c r="BW149" s="496" t="s">
        <v>603</v>
      </c>
      <c r="BX149" s="501">
        <f t="shared" si="21"/>
        <v>799.077</v>
      </c>
      <c r="BY149" s="501">
        <f t="shared" si="21"/>
        <v>0.14699999999999999</v>
      </c>
      <c r="BZ149" s="501">
        <f t="shared" si="21"/>
        <v>0.14099999999999999</v>
      </c>
      <c r="CA149" s="502">
        <f t="shared" si="22"/>
        <v>4968.4641306559142</v>
      </c>
    </row>
    <row r="150" spans="75:95" ht="15" customHeight="1" x14ac:dyDescent="0.25">
      <c r="BW150" s="496" t="s">
        <v>639</v>
      </c>
      <c r="BX150" s="501">
        <f>AK62</f>
        <v>1281.606</v>
      </c>
      <c r="BY150" s="501">
        <f>AJ62</f>
        <v>0.624</v>
      </c>
      <c r="BZ150" s="501">
        <f>AI62</f>
        <v>7.6580000000000004</v>
      </c>
      <c r="CA150" s="502">
        <f>AY62</f>
        <v>9312.4658798534128</v>
      </c>
    </row>
    <row r="151" spans="75:95" ht="15" customHeight="1" x14ac:dyDescent="0.25">
      <c r="BW151" s="496" t="s">
        <v>640</v>
      </c>
      <c r="BX151" s="501">
        <f t="shared" ref="BX151:BX186" si="24">AK63</f>
        <v>1530.6780000000001</v>
      </c>
      <c r="BY151" s="501">
        <f t="shared" ref="BY151:BY186" si="25">AJ63</f>
        <v>1.913</v>
      </c>
      <c r="BZ151" s="501">
        <f t="shared" ref="BZ151:BZ186" si="26">AI63</f>
        <v>21.126000000000001</v>
      </c>
      <c r="CA151" s="502">
        <f t="shared" ref="CA151:CA186" si="27">AY63</f>
        <v>10418.257781269085</v>
      </c>
    </row>
    <row r="152" spans="75:95" ht="15" customHeight="1" x14ac:dyDescent="0.25">
      <c r="BW152" s="496" t="s">
        <v>641</v>
      </c>
      <c r="BX152" s="501">
        <f t="shared" si="24"/>
        <v>1497</v>
      </c>
      <c r="BY152" s="501">
        <f t="shared" si="25"/>
        <v>0.371</v>
      </c>
      <c r="BZ152" s="501">
        <f t="shared" si="26"/>
        <v>1.3640000000000001</v>
      </c>
      <c r="CA152" s="502">
        <f t="shared" si="27"/>
        <v>9130.7934873041595</v>
      </c>
    </row>
    <row r="153" spans="75:95" ht="15" customHeight="1" x14ac:dyDescent="0.25">
      <c r="BW153" s="496" t="s">
        <v>642</v>
      </c>
      <c r="BX153" s="501">
        <f t="shared" si="24"/>
        <v>956.99</v>
      </c>
      <c r="BY153" s="501">
        <f t="shared" si="25"/>
        <v>6.0999999999999999E-2</v>
      </c>
      <c r="BZ153" s="501">
        <f t="shared" si="26"/>
        <v>0.79</v>
      </c>
      <c r="CA153" s="502">
        <f t="shared" si="27"/>
        <v>7783.187454703896</v>
      </c>
    </row>
    <row r="154" spans="75:95" ht="15" customHeight="1" x14ac:dyDescent="0.25">
      <c r="BW154" s="496" t="s">
        <v>643</v>
      </c>
      <c r="BX154" s="501">
        <f t="shared" si="24"/>
        <v>1351.1410000000001</v>
      </c>
      <c r="BY154" s="501">
        <f t="shared" si="25"/>
        <v>1.3819999999999999</v>
      </c>
      <c r="BZ154" s="501">
        <f t="shared" si="26"/>
        <v>0.69899999999999995</v>
      </c>
      <c r="CA154" s="502">
        <f t="shared" si="27"/>
        <v>8386.2621726782218</v>
      </c>
    </row>
    <row r="155" spans="75:95" ht="15" customHeight="1" x14ac:dyDescent="0.25">
      <c r="BW155" s="496" t="s">
        <v>644</v>
      </c>
      <c r="BX155" s="501">
        <f t="shared" si="24"/>
        <v>1183.5239999999999</v>
      </c>
      <c r="BY155" s="501">
        <f t="shared" si="25"/>
        <v>0.42499999999999999</v>
      </c>
      <c r="BZ155" s="501">
        <f t="shared" si="26"/>
        <v>0.52900000000000003</v>
      </c>
      <c r="CA155" s="502">
        <f t="shared" si="27"/>
        <v>8344.5408560102642</v>
      </c>
    </row>
    <row r="156" spans="75:95" ht="15" customHeight="1" x14ac:dyDescent="0.25">
      <c r="BW156" s="496" t="s">
        <v>645</v>
      </c>
      <c r="BX156" s="501">
        <f t="shared" si="24"/>
        <v>1688.2349999999999</v>
      </c>
      <c r="BY156" s="501">
        <f t="shared" si="25"/>
        <v>6.5880000000000001</v>
      </c>
      <c r="BZ156" s="501">
        <f t="shared" si="26"/>
        <v>10.913</v>
      </c>
      <c r="CA156" s="502">
        <f t="shared" si="27"/>
        <v>10440.200098473762</v>
      </c>
    </row>
    <row r="157" spans="75:95" ht="15" customHeight="1" x14ac:dyDescent="0.25">
      <c r="BW157" s="496" t="s">
        <v>646</v>
      </c>
      <c r="BX157" s="501">
        <f t="shared" si="24"/>
        <v>1731.6289999999999</v>
      </c>
      <c r="BY157" s="501">
        <f t="shared" si="25"/>
        <v>9.57</v>
      </c>
      <c r="BZ157" s="501">
        <f t="shared" si="26"/>
        <v>3.4119999999999999</v>
      </c>
      <c r="CA157" s="502">
        <f t="shared" si="27"/>
        <v>10438.89997231587</v>
      </c>
    </row>
    <row r="158" spans="75:95" ht="15" customHeight="1" x14ac:dyDescent="0.25">
      <c r="BW158" s="496" t="s">
        <v>647</v>
      </c>
      <c r="BX158" s="501">
        <f t="shared" si="24"/>
        <v>1969.779</v>
      </c>
      <c r="BY158" s="501">
        <f t="shared" si="25"/>
        <v>1.3919999999999999</v>
      </c>
      <c r="BZ158" s="501">
        <f t="shared" si="26"/>
        <v>0.98</v>
      </c>
      <c r="CA158" s="502">
        <f t="shared" si="27"/>
        <v>9930.3177401550092</v>
      </c>
    </row>
    <row r="159" spans="75:95" ht="15" customHeight="1" x14ac:dyDescent="0.25">
      <c r="BW159" s="496" t="s">
        <v>648</v>
      </c>
      <c r="BX159" s="501">
        <f t="shared" si="24"/>
        <v>2068.415</v>
      </c>
      <c r="BY159" s="501">
        <f t="shared" si="25"/>
        <v>2.3109999999999999</v>
      </c>
      <c r="BZ159" s="501">
        <f t="shared" si="26"/>
        <v>1.6539999999999999</v>
      </c>
      <c r="CA159" s="502">
        <f t="shared" si="27"/>
        <v>10192.20419582706</v>
      </c>
    </row>
    <row r="160" spans="75:95" ht="15" customHeight="1" x14ac:dyDescent="0.25">
      <c r="BW160" s="496" t="s">
        <v>649</v>
      </c>
      <c r="BX160" s="501">
        <f t="shared" si="24"/>
        <v>933.923</v>
      </c>
      <c r="BY160" s="501">
        <f t="shared" si="25"/>
        <v>0.104</v>
      </c>
      <c r="BZ160" s="501">
        <f t="shared" si="26"/>
        <v>0.26700000000000002</v>
      </c>
      <c r="CA160" s="502">
        <f t="shared" si="27"/>
        <v>8454.2103155220084</v>
      </c>
    </row>
    <row r="161" spans="5:79" ht="15" customHeight="1" x14ac:dyDescent="0.25">
      <c r="BW161" s="496" t="s">
        <v>650</v>
      </c>
      <c r="BX161" s="501">
        <f t="shared" si="24"/>
        <v>1706.11</v>
      </c>
      <c r="BY161" s="501">
        <f t="shared" si="25"/>
        <v>1.1120000000000001</v>
      </c>
      <c r="BZ161" s="501">
        <f t="shared" si="26"/>
        <v>1.468</v>
      </c>
      <c r="CA161" s="502">
        <f t="shared" si="27"/>
        <v>9468.5308824359163</v>
      </c>
    </row>
    <row r="162" spans="5:79" ht="15" customHeight="1" x14ac:dyDescent="0.25">
      <c r="BW162" s="496" t="s">
        <v>651</v>
      </c>
      <c r="BX162" s="501">
        <f t="shared" si="24"/>
        <v>952.75900000000001</v>
      </c>
      <c r="BY162" s="501">
        <f t="shared" si="25"/>
        <v>1.6E-2</v>
      </c>
      <c r="BZ162" s="501">
        <f t="shared" si="26"/>
        <v>0.32400000000000001</v>
      </c>
      <c r="CA162" s="502">
        <f t="shared" si="27"/>
        <v>8133.8585985520858</v>
      </c>
    </row>
    <row r="163" spans="5:79" ht="15" customHeight="1" x14ac:dyDescent="0.25">
      <c r="BW163" s="496" t="s">
        <v>652</v>
      </c>
      <c r="BX163" s="501">
        <f t="shared" si="24"/>
        <v>1129.489</v>
      </c>
      <c r="BY163" s="501">
        <f t="shared" si="25"/>
        <v>0.16</v>
      </c>
      <c r="BZ163" s="501">
        <f t="shared" si="26"/>
        <v>0.63200000000000001</v>
      </c>
      <c r="CA163" s="502">
        <f t="shared" si="27"/>
        <v>10136.72580893009</v>
      </c>
    </row>
    <row r="164" spans="5:79" ht="15" customHeight="1" x14ac:dyDescent="0.25">
      <c r="BW164" s="496" t="s">
        <v>653</v>
      </c>
      <c r="BX164" s="501">
        <f t="shared" si="24"/>
        <v>947.05499999999995</v>
      </c>
      <c r="BY164" s="501">
        <f t="shared" si="25"/>
        <v>0.60099999999999998</v>
      </c>
      <c r="BZ164" s="501">
        <f t="shared" si="26"/>
        <v>0.42399999999999999</v>
      </c>
      <c r="CA164" s="502">
        <f t="shared" si="27"/>
        <v>7798.346322671081</v>
      </c>
    </row>
    <row r="165" spans="5:79" ht="15" customHeight="1" x14ac:dyDescent="0.25">
      <c r="BW165" s="496" t="s">
        <v>654</v>
      </c>
      <c r="BX165" s="501">
        <f t="shared" si="24"/>
        <v>1328.8019999999999</v>
      </c>
      <c r="BY165" s="501">
        <f t="shared" si="25"/>
        <v>0.97199999999999998</v>
      </c>
      <c r="BZ165" s="501">
        <f t="shared" si="26"/>
        <v>0.877</v>
      </c>
      <c r="CA165" s="502">
        <f t="shared" si="27"/>
        <v>8758.3980832321959</v>
      </c>
    </row>
    <row r="166" spans="5:79" ht="15" customHeight="1" x14ac:dyDescent="0.25">
      <c r="BW166" s="496" t="s">
        <v>655</v>
      </c>
      <c r="BX166" s="501">
        <f t="shared" si="24"/>
        <v>1670.193</v>
      </c>
      <c r="BY166" s="501">
        <f t="shared" si="25"/>
        <v>2.2229999999999999</v>
      </c>
      <c r="BZ166" s="501">
        <f t="shared" si="26"/>
        <v>1.0169999999999999</v>
      </c>
      <c r="CA166" s="502">
        <f t="shared" si="27"/>
        <v>9496.0495083176975</v>
      </c>
    </row>
    <row r="167" spans="5:79" ht="15" customHeight="1" x14ac:dyDescent="0.25">
      <c r="BW167" s="496" t="s">
        <v>656</v>
      </c>
      <c r="BX167" s="501">
        <f t="shared" si="24"/>
        <v>1851.15</v>
      </c>
      <c r="BY167" s="501">
        <f t="shared" si="25"/>
        <v>1.774</v>
      </c>
      <c r="BZ167" s="501">
        <f t="shared" si="26"/>
        <v>1.33</v>
      </c>
      <c r="CA167" s="502">
        <f t="shared" si="27"/>
        <v>9698.6032431259428</v>
      </c>
    </row>
    <row r="168" spans="5:79" ht="15" customHeight="1" x14ac:dyDescent="0.25">
      <c r="BW168" s="496" t="s">
        <v>657</v>
      </c>
      <c r="BX168" s="501">
        <f t="shared" si="24"/>
        <v>1910.566</v>
      </c>
      <c r="BY168" s="501">
        <f t="shared" si="25"/>
        <v>0.88900000000000001</v>
      </c>
      <c r="BZ168" s="501">
        <f t="shared" si="26"/>
        <v>1.395</v>
      </c>
      <c r="CA168" s="502">
        <f t="shared" si="27"/>
        <v>10126.53186442255</v>
      </c>
    </row>
    <row r="169" spans="5:79" ht="15" customHeight="1" x14ac:dyDescent="0.25">
      <c r="BW169" s="496" t="s">
        <v>658</v>
      </c>
      <c r="BX169" s="501">
        <f t="shared" si="24"/>
        <v>2094.3890000000001</v>
      </c>
      <c r="BY169" s="501">
        <f t="shared" si="25"/>
        <v>0.68</v>
      </c>
      <c r="BZ169" s="501">
        <f t="shared" si="26"/>
        <v>1.1619999999999999</v>
      </c>
      <c r="CA169" s="502">
        <f t="shared" si="27"/>
        <v>10510.797739125423</v>
      </c>
    </row>
    <row r="170" spans="5:79" ht="15" customHeight="1" x14ac:dyDescent="0.25">
      <c r="BW170" s="496" t="s">
        <v>659</v>
      </c>
      <c r="BX170" s="501">
        <f t="shared" si="24"/>
        <v>1605.4059999999999</v>
      </c>
      <c r="BY170" s="501">
        <f t="shared" si="25"/>
        <v>2.0960000000000001</v>
      </c>
      <c r="BZ170" s="501">
        <f t="shared" si="26"/>
        <v>1.075</v>
      </c>
      <c r="CA170" s="502">
        <f t="shared" si="27"/>
        <v>9417.5098976151894</v>
      </c>
    </row>
    <row r="171" spans="5:79" ht="15" customHeight="1" x14ac:dyDescent="0.25">
      <c r="BW171" s="496" t="s">
        <v>660</v>
      </c>
      <c r="BX171" s="501">
        <f t="shared" si="24"/>
        <v>1125.7760000000001</v>
      </c>
      <c r="BY171" s="501">
        <f t="shared" si="25"/>
        <v>0.91300000000000003</v>
      </c>
      <c r="BZ171" s="501">
        <f t="shared" si="26"/>
        <v>1.0589999999999999</v>
      </c>
      <c r="CA171" s="502">
        <f t="shared" si="27"/>
        <v>7835.9139811460454</v>
      </c>
    </row>
    <row r="172" spans="5:79" ht="15" customHeight="1" x14ac:dyDescent="0.25">
      <c r="BW172" s="496" t="s">
        <v>661</v>
      </c>
      <c r="BX172" s="501">
        <f t="shared" si="24"/>
        <v>2017.4659999999999</v>
      </c>
      <c r="BY172" s="501">
        <f t="shared" si="25"/>
        <v>3.036</v>
      </c>
      <c r="BZ172" s="501">
        <f t="shared" si="26"/>
        <v>1.403</v>
      </c>
      <c r="CA172" s="502">
        <f t="shared" si="27"/>
        <v>9986.7247912584335</v>
      </c>
    </row>
    <row r="173" spans="5:79" ht="15" customHeight="1" x14ac:dyDescent="0.25">
      <c r="BW173" s="496" t="s">
        <v>662</v>
      </c>
      <c r="BX173" s="501">
        <f t="shared" si="24"/>
        <v>1424.9110000000001</v>
      </c>
      <c r="BY173" s="501">
        <f t="shared" si="25"/>
        <v>0.39400000000000002</v>
      </c>
      <c r="BZ173" s="501">
        <f t="shared" si="26"/>
        <v>0.60699999999999998</v>
      </c>
      <c r="CA173" s="502">
        <f t="shared" si="27"/>
        <v>8746.8450966580331</v>
      </c>
    </row>
    <row r="174" spans="5:79" ht="15" customHeight="1" x14ac:dyDescent="0.3">
      <c r="F174" s="669" t="s">
        <v>663</v>
      </c>
      <c r="BW174" s="496" t="s">
        <v>664</v>
      </c>
      <c r="BX174" s="501">
        <f t="shared" si="24"/>
        <v>1747.319</v>
      </c>
      <c r="BY174" s="501">
        <f t="shared" si="25"/>
        <v>1.46</v>
      </c>
      <c r="BZ174" s="501">
        <f t="shared" si="26"/>
        <v>1.03</v>
      </c>
      <c r="CA174" s="502">
        <f t="shared" si="27"/>
        <v>9531.8061004515985</v>
      </c>
    </row>
    <row r="175" spans="5:79" ht="15" customHeight="1" x14ac:dyDescent="0.25">
      <c r="E175" s="410"/>
      <c r="BW175" s="496" t="s">
        <v>665</v>
      </c>
      <c r="BX175" s="501">
        <f t="shared" si="24"/>
        <v>1444.1389999999999</v>
      </c>
      <c r="BY175" s="501">
        <f t="shared" si="25"/>
        <v>0.52300000000000002</v>
      </c>
      <c r="BZ175" s="501">
        <f t="shared" si="26"/>
        <v>0.72</v>
      </c>
      <c r="CA175" s="502">
        <f t="shared" si="27"/>
        <v>8944.8924949751654</v>
      </c>
    </row>
    <row r="176" spans="5:79" ht="15" customHeight="1" x14ac:dyDescent="0.25">
      <c r="BW176" s="496" t="s">
        <v>666</v>
      </c>
      <c r="BX176" s="501">
        <f t="shared" si="24"/>
        <v>1310.998</v>
      </c>
      <c r="BY176" s="501">
        <f t="shared" si="25"/>
        <v>0.77500000000000002</v>
      </c>
      <c r="BZ176" s="501">
        <f t="shared" si="26"/>
        <v>9.2379999999999995</v>
      </c>
      <c r="CA176" s="502">
        <f t="shared" si="27"/>
        <v>9442.187012653385</v>
      </c>
    </row>
    <row r="177" spans="75:79" ht="15" customHeight="1" x14ac:dyDescent="0.25">
      <c r="BW177" s="496" t="s">
        <v>667</v>
      </c>
      <c r="BX177" s="501">
        <f t="shared" si="24"/>
        <v>1183.5239999999999</v>
      </c>
      <c r="BY177" s="501">
        <f t="shared" si="25"/>
        <v>0.42499999999999999</v>
      </c>
      <c r="BZ177" s="501">
        <f t="shared" si="26"/>
        <v>0.52900000000000003</v>
      </c>
      <c r="CA177" s="502">
        <f t="shared" si="27"/>
        <v>8344.5408560102642</v>
      </c>
    </row>
    <row r="178" spans="75:79" ht="15" customHeight="1" x14ac:dyDescent="0.25">
      <c r="BW178" s="496" t="s">
        <v>668</v>
      </c>
      <c r="BX178" s="501">
        <f t="shared" si="24"/>
        <v>1721.9570000000001</v>
      </c>
      <c r="BY178" s="501">
        <f t="shared" si="25"/>
        <v>8.9049999999999994</v>
      </c>
      <c r="BZ178" s="501">
        <f t="shared" si="26"/>
        <v>5.0839999999999996</v>
      </c>
      <c r="CA178" s="502">
        <f t="shared" si="27"/>
        <v>10439.18233700428</v>
      </c>
    </row>
    <row r="179" spans="75:79" ht="15" customHeight="1" x14ac:dyDescent="0.25">
      <c r="BW179" s="496" t="s">
        <v>669</v>
      </c>
      <c r="BX179" s="501">
        <f t="shared" si="24"/>
        <v>2021.001</v>
      </c>
      <c r="BY179" s="501">
        <f t="shared" si="25"/>
        <v>2.33</v>
      </c>
      <c r="BZ179" s="501">
        <f t="shared" si="26"/>
        <v>1.5860000000000001</v>
      </c>
      <c r="CA179" s="502">
        <f t="shared" si="27"/>
        <v>10037.419284538408</v>
      </c>
    </row>
    <row r="180" spans="75:79" ht="15" customHeight="1" x14ac:dyDescent="0.25">
      <c r="BW180" s="496" t="s">
        <v>670</v>
      </c>
      <c r="BX180" s="501">
        <f t="shared" si="24"/>
        <v>1576.3869999999999</v>
      </c>
      <c r="BY180" s="501">
        <f t="shared" si="25"/>
        <v>2.7989999999999999</v>
      </c>
      <c r="BZ180" s="501">
        <f t="shared" si="26"/>
        <v>32.069000000000003</v>
      </c>
      <c r="CA180" s="502">
        <f t="shared" si="27"/>
        <v>9651.8026565464916</v>
      </c>
    </row>
    <row r="181" spans="75:79" ht="15" customHeight="1" x14ac:dyDescent="0.25">
      <c r="BW181" s="496" t="s">
        <v>671</v>
      </c>
      <c r="BX181" s="501">
        <f t="shared" si="24"/>
        <v>967.84100000000001</v>
      </c>
      <c r="BY181" s="501">
        <f t="shared" si="25"/>
        <v>0.20200000000000001</v>
      </c>
      <c r="BZ181" s="501">
        <f t="shared" si="26"/>
        <v>0.36299999999999999</v>
      </c>
      <c r="CA181" s="502">
        <f t="shared" si="27"/>
        <v>8486.2977950127133</v>
      </c>
    </row>
    <row r="182" spans="75:79" ht="15" customHeight="1" x14ac:dyDescent="0.25">
      <c r="BW182" s="496" t="s">
        <v>672</v>
      </c>
      <c r="BX182" s="501">
        <f t="shared" si="24"/>
        <v>1687.8869999999999</v>
      </c>
      <c r="BY182" s="501">
        <f t="shared" si="25"/>
        <v>1.5820000000000001</v>
      </c>
      <c r="BZ182" s="501">
        <f t="shared" si="26"/>
        <v>1.153</v>
      </c>
      <c r="CA182" s="502">
        <f t="shared" si="27"/>
        <v>9411.6597177154745</v>
      </c>
    </row>
    <row r="183" spans="75:79" ht="15" customHeight="1" x14ac:dyDescent="0.25">
      <c r="BW183" s="496" t="s">
        <v>673</v>
      </c>
      <c r="BX183" s="501">
        <f t="shared" si="24"/>
        <v>1511.17</v>
      </c>
      <c r="BY183" s="501">
        <f t="shared" si="25"/>
        <v>1.0669999999999999</v>
      </c>
      <c r="BZ183" s="501">
        <f t="shared" si="26"/>
        <v>0.89500000000000002</v>
      </c>
      <c r="CA183" s="502">
        <f t="shared" si="27"/>
        <v>8920.952177892028</v>
      </c>
    </row>
    <row r="184" spans="75:79" ht="15" customHeight="1" x14ac:dyDescent="0.25">
      <c r="BW184" s="496" t="s">
        <v>674</v>
      </c>
      <c r="BX184" s="501">
        <f t="shared" si="24"/>
        <v>1714.3979999999999</v>
      </c>
      <c r="BY184" s="501">
        <f t="shared" si="25"/>
        <v>1.6619999999999999</v>
      </c>
      <c r="BZ184" s="501">
        <f t="shared" si="26"/>
        <v>1.085</v>
      </c>
      <c r="CA184" s="502">
        <f t="shared" si="27"/>
        <v>9644.8617346837782</v>
      </c>
    </row>
    <row r="185" spans="75:79" ht="15" customHeight="1" x14ac:dyDescent="0.25">
      <c r="BW185" s="496" t="s">
        <v>675</v>
      </c>
      <c r="BX185" s="501">
        <f t="shared" si="24"/>
        <v>1360.7049999999999</v>
      </c>
      <c r="BY185" s="501">
        <f t="shared" si="25"/>
        <v>1.41</v>
      </c>
      <c r="BZ185" s="501">
        <f t="shared" si="26"/>
        <v>0.70799999999999996</v>
      </c>
      <c r="CA185" s="502">
        <f t="shared" si="27"/>
        <v>8406.1753284877941</v>
      </c>
    </row>
    <row r="186" spans="75:79" ht="15" customHeight="1" x14ac:dyDescent="0.25">
      <c r="BW186" s="496" t="s">
        <v>676</v>
      </c>
      <c r="BX186" s="501">
        <f t="shared" si="24"/>
        <v>1485.001</v>
      </c>
      <c r="BY186" s="501">
        <f t="shared" si="25"/>
        <v>0.57499999999999996</v>
      </c>
      <c r="BZ186" s="501">
        <f t="shared" si="26"/>
        <v>1.2430000000000001</v>
      </c>
      <c r="CA186" s="502">
        <f t="shared" si="27"/>
        <v>9033.5662048754584</v>
      </c>
    </row>
    <row r="187" spans="75:79" ht="15" customHeight="1" x14ac:dyDescent="0.25">
      <c r="BW187" s="434" t="s">
        <v>259</v>
      </c>
      <c r="BX187" s="475">
        <f t="shared" ref="BX187" si="28">BR9</f>
        <v>361.55840491013953</v>
      </c>
      <c r="BY187" s="475">
        <f t="shared" ref="BY187:BY191" si="29">BT9</f>
        <v>1.1415078610552385</v>
      </c>
      <c r="BZ187" s="475">
        <f t="shared" ref="BZ187:BZ191" si="30">BS9</f>
        <v>0.71691578453630334</v>
      </c>
      <c r="CA187" s="442">
        <f t="shared" ref="CA187" si="31">BU9</f>
        <v>3634</v>
      </c>
    </row>
    <row r="188" spans="75:79" ht="15" customHeight="1" x14ac:dyDescent="0.25">
      <c r="BW188" s="496" t="s">
        <v>59</v>
      </c>
      <c r="BX188" s="670">
        <v>1410.56</v>
      </c>
      <c r="BY188" s="501">
        <f t="shared" si="29"/>
        <v>3.9072900352729905</v>
      </c>
      <c r="BZ188" s="501">
        <f t="shared" si="30"/>
        <v>2.8677163722195678</v>
      </c>
      <c r="CA188" s="671">
        <v>12388</v>
      </c>
    </row>
    <row r="189" spans="75:79" ht="15" customHeight="1" x14ac:dyDescent="0.25">
      <c r="BW189" s="496" t="s">
        <v>60</v>
      </c>
      <c r="BX189" s="501">
        <f t="shared" ref="BX189:BX190" si="32">BR11</f>
        <v>24.912255948076687</v>
      </c>
      <c r="BY189" s="501">
        <f t="shared" si="29"/>
        <v>5.4314629705916077E-3</v>
      </c>
      <c r="BZ189" s="501">
        <f t="shared" si="30"/>
        <v>8.1796389488258042E-2</v>
      </c>
      <c r="CA189" s="502">
        <f t="shared" ref="CA189:CA190" si="33">BU11</f>
        <v>437</v>
      </c>
    </row>
    <row r="190" spans="75:79" ht="15" customHeight="1" x14ac:dyDescent="0.25">
      <c r="BW190" s="496" t="s">
        <v>61</v>
      </c>
      <c r="BX190" s="501">
        <f t="shared" si="32"/>
        <v>7.3193530750101417</v>
      </c>
      <c r="BY190" s="501">
        <f t="shared" si="29"/>
        <v>4.1752211078894916E-2</v>
      </c>
      <c r="BZ190" s="501">
        <f t="shared" si="30"/>
        <v>2.7766635200966863E-2</v>
      </c>
      <c r="CA190" s="502">
        <f t="shared" si="33"/>
        <v>300</v>
      </c>
    </row>
    <row r="191" spans="75:79" ht="15" customHeight="1" x14ac:dyDescent="0.25">
      <c r="BW191" s="496" t="s">
        <v>62</v>
      </c>
      <c r="BX191" s="670">
        <v>1237</v>
      </c>
      <c r="BY191" s="501">
        <f t="shared" si="29"/>
        <v>0.95781963183094909</v>
      </c>
      <c r="BZ191" s="501">
        <f t="shared" si="30"/>
        <v>1.3788610465998909</v>
      </c>
      <c r="CA191" s="671">
        <v>7582</v>
      </c>
    </row>
    <row r="192" spans="75:79" ht="15" customHeight="1" x14ac:dyDescent="0.25">
      <c r="BW192" s="496"/>
      <c r="BX192" s="501"/>
      <c r="BY192" s="501"/>
      <c r="BZ192" s="501"/>
      <c r="CA192" s="502"/>
    </row>
    <row r="193" spans="75:79" ht="15" customHeight="1" x14ac:dyDescent="0.25">
      <c r="BW193" s="496" t="s">
        <v>63</v>
      </c>
      <c r="BX193" s="501">
        <f t="shared" ref="BX193" si="34">BR14</f>
        <v>44.974338171749061</v>
      </c>
      <c r="BY193" s="501">
        <f t="shared" ref="BY193:BY198" si="35">BT14</f>
        <v>0.16350828464116218</v>
      </c>
      <c r="BZ193" s="501">
        <f t="shared" ref="BZ193:BZ198" si="36">BS14</f>
        <v>0.17452509934638943</v>
      </c>
      <c r="CA193" s="502">
        <f t="shared" ref="CA193" si="37">BU14</f>
        <v>365</v>
      </c>
    </row>
    <row r="194" spans="75:79" ht="15" customHeight="1" x14ac:dyDescent="0.25">
      <c r="BW194" s="496" t="s">
        <v>64</v>
      </c>
      <c r="BX194" s="670">
        <v>1582.9</v>
      </c>
      <c r="BY194" s="501">
        <f t="shared" si="35"/>
        <v>12.577127550484972</v>
      </c>
      <c r="BZ194" s="501">
        <f t="shared" si="36"/>
        <v>3.5648859805102604</v>
      </c>
      <c r="CA194" s="671">
        <v>7980</v>
      </c>
    </row>
    <row r="195" spans="75:79" ht="15" customHeight="1" x14ac:dyDescent="0.25">
      <c r="BW195" s="496" t="s">
        <v>65</v>
      </c>
      <c r="BX195" s="670">
        <v>876</v>
      </c>
      <c r="BY195" s="501">
        <f t="shared" si="35"/>
        <v>0.17477172909733199</v>
      </c>
      <c r="BZ195" s="501">
        <f t="shared" si="36"/>
        <v>0.27722551473506435</v>
      </c>
      <c r="CA195" s="671">
        <v>7582</v>
      </c>
    </row>
    <row r="196" spans="75:79" ht="15" customHeight="1" x14ac:dyDescent="0.25">
      <c r="BW196" s="496" t="s">
        <v>66</v>
      </c>
      <c r="BX196" s="501">
        <f t="shared" ref="BX196:BX198" si="38">BR17</f>
        <v>4.2328788867528528</v>
      </c>
      <c r="BY196" s="501">
        <f t="shared" si="35"/>
        <v>0.29408376138211373</v>
      </c>
      <c r="BZ196" s="501">
        <f t="shared" si="36"/>
        <v>0.12027277524390242</v>
      </c>
      <c r="CA196" s="502">
        <f t="shared" ref="CA196:CA198" si="39">BU17</f>
        <v>7864</v>
      </c>
    </row>
    <row r="197" spans="75:79" ht="15" customHeight="1" x14ac:dyDescent="0.25">
      <c r="BW197" s="496" t="s">
        <v>67</v>
      </c>
      <c r="BX197" s="501">
        <f t="shared" si="38"/>
        <v>4.4092488403675549</v>
      </c>
      <c r="BY197" s="501">
        <f t="shared" si="35"/>
        <v>2.0214579782354802E-2</v>
      </c>
      <c r="BZ197" s="501">
        <f t="shared" si="36"/>
        <v>0.1030691903875308</v>
      </c>
      <c r="CA197" s="502">
        <f t="shared" si="39"/>
        <v>101</v>
      </c>
    </row>
    <row r="198" spans="75:79" ht="15" customHeight="1" x14ac:dyDescent="0.25">
      <c r="BW198" s="542" t="s">
        <v>68</v>
      </c>
      <c r="BX198" s="632">
        <f t="shared" si="38"/>
        <v>1642.4451930369144</v>
      </c>
      <c r="BY198" s="632">
        <f t="shared" si="35"/>
        <v>9.7426139480127194</v>
      </c>
      <c r="BZ198" s="632">
        <f t="shared" si="36"/>
        <v>3.9008768784703931</v>
      </c>
      <c r="CA198" s="633">
        <f t="shared" si="39"/>
        <v>5711</v>
      </c>
    </row>
    <row r="199" spans="75:79" ht="15" customHeight="1" x14ac:dyDescent="0.25"/>
    <row r="200" spans="75:79" ht="15" customHeight="1" x14ac:dyDescent="0.35">
      <c r="BW200" s="672"/>
      <c r="BX200" s="673" t="s">
        <v>530</v>
      </c>
      <c r="BY200" s="673" t="s">
        <v>531</v>
      </c>
      <c r="BZ200" s="673" t="s">
        <v>532</v>
      </c>
      <c r="CA200" s="674" t="s">
        <v>247</v>
      </c>
    </row>
    <row r="201" spans="75:79" ht="15" customHeight="1" x14ac:dyDescent="0.25">
      <c r="BW201" s="675" t="s">
        <v>521</v>
      </c>
      <c r="BX201" s="672"/>
      <c r="BY201" s="672"/>
      <c r="BZ201" s="672"/>
      <c r="CA201" s="672"/>
    </row>
    <row r="202" spans="75:79" ht="15" customHeight="1" x14ac:dyDescent="0.25">
      <c r="BW202" s="675" t="s">
        <v>512</v>
      </c>
      <c r="BX202" s="676">
        <v>216.1</v>
      </c>
      <c r="BY202" s="676"/>
      <c r="BZ202" s="676"/>
      <c r="CA202" s="676">
        <v>2686</v>
      </c>
    </row>
    <row r="203" spans="75:79" ht="15" customHeight="1" x14ac:dyDescent="0.25">
      <c r="BW203" s="675" t="s">
        <v>518</v>
      </c>
      <c r="BX203" s="676">
        <v>976.6</v>
      </c>
      <c r="BY203" s="675"/>
      <c r="BZ203" s="675"/>
      <c r="CA203" s="676">
        <v>2720</v>
      </c>
    </row>
    <row r="204" spans="75:79" ht="15" customHeight="1" x14ac:dyDescent="0.25">
      <c r="BW204" s="675" t="s">
        <v>64</v>
      </c>
      <c r="BX204" s="675" t="s">
        <v>519</v>
      </c>
      <c r="BY204" s="675"/>
      <c r="BZ204" s="675"/>
      <c r="CA204" s="676" t="s">
        <v>520</v>
      </c>
    </row>
    <row r="205" spans="75:79" ht="15" customHeight="1" x14ac:dyDescent="0.25">
      <c r="BW205" s="677" t="s">
        <v>59</v>
      </c>
      <c r="BX205" s="678">
        <v>1629.2</v>
      </c>
      <c r="BY205" s="672"/>
      <c r="BZ205" s="672"/>
      <c r="CA205" s="678">
        <v>10177</v>
      </c>
    </row>
    <row r="206" spans="75:79" ht="15" customHeight="1" x14ac:dyDescent="0.25">
      <c r="BW206" s="675" t="s">
        <v>513</v>
      </c>
      <c r="BX206" s="679">
        <f>BR85</f>
        <v>0</v>
      </c>
      <c r="BY206" s="679">
        <f>BT85</f>
        <v>0</v>
      </c>
      <c r="BZ206" s="679">
        <f>BS85</f>
        <v>0</v>
      </c>
      <c r="CA206" s="680">
        <f>BU85</f>
        <v>0</v>
      </c>
    </row>
    <row r="207" spans="75:79" ht="15" customHeight="1" x14ac:dyDescent="0.25">
      <c r="BW207" s="675" t="s">
        <v>514</v>
      </c>
      <c r="BX207" s="675"/>
      <c r="BY207" s="675"/>
      <c r="BZ207" s="675"/>
      <c r="CA207" s="675"/>
    </row>
    <row r="208" spans="75:79" ht="15" customHeight="1" x14ac:dyDescent="0.25">
      <c r="BW208" s="681" t="s">
        <v>677</v>
      </c>
    </row>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sheetData>
  <mergeCells count="60">
    <mergeCell ref="C69:D69"/>
    <mergeCell ref="G69:I69"/>
    <mergeCell ref="K69:Q69"/>
    <mergeCell ref="G10:Q10"/>
    <mergeCell ref="G27:Q27"/>
    <mergeCell ref="E35:E40"/>
    <mergeCell ref="E41:E46"/>
    <mergeCell ref="E47:E52"/>
    <mergeCell ref="E54:E59"/>
    <mergeCell ref="C68:D68"/>
    <mergeCell ref="G68:I68"/>
    <mergeCell ref="K68:Q68"/>
    <mergeCell ref="C70:D70"/>
    <mergeCell ref="G70:I70"/>
    <mergeCell ref="K70:Q70"/>
    <mergeCell ref="C71:D71"/>
    <mergeCell ref="G71:I71"/>
    <mergeCell ref="K71:Q71"/>
    <mergeCell ref="C72:D72"/>
    <mergeCell ref="G72:I72"/>
    <mergeCell ref="K72:Q72"/>
    <mergeCell ref="C73:D73"/>
    <mergeCell ref="G73:I73"/>
    <mergeCell ref="K73:Q73"/>
    <mergeCell ref="C74:D74"/>
    <mergeCell ref="G74:I74"/>
    <mergeCell ref="K74:Q74"/>
    <mergeCell ref="C75:D75"/>
    <mergeCell ref="G75:I75"/>
    <mergeCell ref="K75:Q75"/>
    <mergeCell ref="C76:D76"/>
    <mergeCell ref="G76:I76"/>
    <mergeCell ref="K76:Q76"/>
    <mergeCell ref="C77:D77"/>
    <mergeCell ref="G77:I77"/>
    <mergeCell ref="K77:Q77"/>
    <mergeCell ref="C78:D78"/>
    <mergeCell ref="G78:I78"/>
    <mergeCell ref="K78:Q78"/>
    <mergeCell ref="C79:D79"/>
    <mergeCell ref="G79:I79"/>
    <mergeCell ref="K79:Q79"/>
    <mergeCell ref="C80:D80"/>
    <mergeCell ref="G80:I80"/>
    <mergeCell ref="K80:Q80"/>
    <mergeCell ref="C81:D81"/>
    <mergeCell ref="G81:I81"/>
    <mergeCell ref="K81:R81"/>
    <mergeCell ref="C82:D82"/>
    <mergeCell ref="G82:I82"/>
    <mergeCell ref="K82:R82"/>
    <mergeCell ref="C83:D83"/>
    <mergeCell ref="G83:I83"/>
    <mergeCell ref="K83:R83"/>
    <mergeCell ref="C84:D84"/>
    <mergeCell ref="G84:I84"/>
    <mergeCell ref="K84:R84"/>
    <mergeCell ref="C85:D85"/>
    <mergeCell ref="G85:I85"/>
    <mergeCell ref="K85:Q85"/>
  </mergeCells>
  <dataValidations count="1">
    <dataValidation type="list" allowBlank="1" showInputMessage="1" showErrorMessage="1" sqref="E22">
      <formula1>$CS$8:$CS$13</formula1>
    </dataValidation>
  </dataValidations>
  <hyperlinks>
    <hyperlink ref="K68" r:id="rId1"/>
    <hyperlink ref="K69" r:id="rId2"/>
    <hyperlink ref="K70" r:id="rId3"/>
    <hyperlink ref="K71" r:id="rId4"/>
    <hyperlink ref="K81" r:id="rId5"/>
    <hyperlink ref="K82" r:id="rId6"/>
    <hyperlink ref="K77" r:id="rId7"/>
    <hyperlink ref="K78" r:id="rId8"/>
    <hyperlink ref="K79" r:id="rId9"/>
    <hyperlink ref="K73" r:id="rId10"/>
    <hyperlink ref="K74" r:id="rId11"/>
    <hyperlink ref="K75" r:id="rId12"/>
    <hyperlink ref="K72" r:id="rId13"/>
    <hyperlink ref="K76" r:id="rId14"/>
    <hyperlink ref="BH22" r:id="rId15" location="Emission_Summaries" display="http://www.ec.gc.ca/inrp-npri/default.asp?lang=en&amp;n=0EC58C98- - Emission_Summaries"/>
    <hyperlink ref="BQ23" r:id="rId16" location="Emission_Summaries" display="http://www.ec.gc.ca/inrp-npri/default.asp?lang=en&amp;n=0EC58C98- - Emission_Summaries"/>
    <hyperlink ref="K84" r:id="rId17"/>
    <hyperlink ref="K85" r:id="rId18" location="Emission_Summaries"/>
    <hyperlink ref="K80" r:id="rId19"/>
    <hyperlink ref="K83" r:id="rId20"/>
  </hyperlinks>
  <pageMargins left="0.5" right="0.5" top="0.5" bottom="0.5" header="0.3" footer="0.3"/>
  <pageSetup scale="61" orientation="portrait" r:id="rId21"/>
  <headerFooter>
    <oddFooter>&amp;L&amp;F&amp;Cpage &amp;P of &amp;N&amp;R&amp;D</oddFooter>
  </headerFooter>
  <rowBreaks count="1" manualBreakCount="1">
    <brk id="40" min="2" max="16" man="1"/>
  </rowBreaks>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2.75" x14ac:dyDescent="0.2"/>
  <sheetData>
    <row r="1" spans="1:5" x14ac:dyDescent="0.2">
      <c r="A1" t="s">
        <v>546</v>
      </c>
      <c r="B1" t="s">
        <v>547</v>
      </c>
      <c r="C1" t="s">
        <v>539</v>
      </c>
      <c r="D1" t="s">
        <v>545</v>
      </c>
      <c r="E1" t="s">
        <v>544</v>
      </c>
    </row>
    <row r="2" spans="1:5" x14ac:dyDescent="0.2">
      <c r="A2" t="s">
        <v>548</v>
      </c>
      <c r="B2" t="s">
        <v>549</v>
      </c>
      <c r="C2" t="s">
        <v>540</v>
      </c>
    </row>
    <row r="3" spans="1:5" x14ac:dyDescent="0.2">
      <c r="C3" t="s">
        <v>541</v>
      </c>
    </row>
    <row r="4" spans="1:5" x14ac:dyDescent="0.2">
      <c r="C4" t="s">
        <v>542</v>
      </c>
    </row>
    <row r="5" spans="1:5" x14ac:dyDescent="0.2">
      <c r="C5"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CHP Payback</vt:lpstr>
      <vt:lpstr>Overview</vt:lpstr>
      <vt:lpstr>Assumptions</vt:lpstr>
      <vt:lpstr>Life Cycle Cost </vt:lpstr>
      <vt:lpstr>Carbon Calc 041118</vt:lpstr>
      <vt:lpstr>Canadian_Average_All_Sources</vt:lpstr>
      <vt:lpstr>eGrid_Subregions_Ave_All_Sources</vt:lpstr>
      <vt:lpstr>eGrid_Subregions_Average_Fossil</vt:lpstr>
      <vt:lpstr>NERC_Average_All_Sources</vt:lpstr>
      <vt:lpstr>NERC_Average_Fossil</vt:lpstr>
      <vt:lpstr>Assumptions!Print_Area</vt:lpstr>
      <vt:lpstr>'Carbon Calc 041118'!Print_Area</vt:lpstr>
      <vt:lpstr>'CHP Payback'!Print_Area</vt:lpstr>
      <vt:lpstr>'Life Cycle Cost '!Print_Area</vt:lpstr>
      <vt:lpstr>US_Average_All_Sources</vt:lpstr>
      <vt:lpstr>US_Average_Fossil</vt:lpstr>
    </vt:vector>
  </TitlesOfParts>
  <Company>Americn Gas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Burgis, Eric</cp:lastModifiedBy>
  <cp:lastPrinted>2018-04-17T13:21:59Z</cp:lastPrinted>
  <dcterms:created xsi:type="dcterms:W3CDTF">2005-07-21T17:33:45Z</dcterms:created>
  <dcterms:modified xsi:type="dcterms:W3CDTF">2018-05-02T15:07:10Z</dcterms:modified>
</cp:coreProperties>
</file>