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omments1.xml" ContentType="application/vnd.openxmlformats-officedocument.spreadsheetml.comments+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2.xml" ContentType="application/vnd.openxmlformats-officedocument.drawing+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omments2.xml" ContentType="application/vnd.openxmlformats-officedocument.spreadsheetml.comments+xml"/>
  <Override PartName="/xl/threadedComments/threadedComment1.xml" ContentType="application/vnd.ms-excel.threadedcomments+xml"/>
  <Override PartName="/xl/drawings/drawing3.xml" ContentType="application/vnd.openxmlformats-officedocument.drawing+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426"/>
  <workbookPr codeName="ThisWorkbook" defaultThemeVersion="124226"/>
  <mc:AlternateContent xmlns:mc="http://schemas.openxmlformats.org/markup-compatibility/2006">
    <mc:Choice Requires="x15">
      <x15ac:absPath xmlns:x15ac="http://schemas.microsoft.com/office/spreadsheetml/2010/11/ac" url="https://aga1-my.sharepoint.com/personal/rdivenere_escenter_org/Documents/"/>
    </mc:Choice>
  </mc:AlternateContent>
  <xr:revisionPtr revIDLastSave="1" documentId="8_{5B08062E-1463-4DBB-A7F2-5C903246105C}" xr6:coauthVersionLast="47" xr6:coauthVersionMax="47" xr10:uidLastSave="{9D5CB7A1-D647-4DCC-B1DE-E677CDE03128}"/>
  <bookViews>
    <workbookView xWindow="480" yWindow="150" windowWidth="27960" windowHeight="13755" tabRatio="806" xr2:uid="{741FFB8A-A776-44BA-B24F-97952E893B59}"/>
  </bookViews>
  <sheets>
    <sheet name="User Input" sheetId="1" r:id="rId1"/>
    <sheet name="Lists" sheetId="2" r:id="rId2"/>
    <sheet name="Heating Load" sheetId="8" r:id="rId3"/>
    <sheet name="Adjusted HSPF" sheetId="9" r:id="rId4"/>
    <sheet name="AppTech" sheetId="4" r:id="rId5"/>
    <sheet name="Calc" sheetId="7" r:id="rId6"/>
    <sheet name="Factors" sheetId="6" r:id="rId7"/>
    <sheet name="Residential Prices" sheetId="10" r:id="rId8"/>
    <sheet name="Carbon Calculator" sheetId="11" r:id="rId9"/>
    <sheet name="Profiles" sheetId="3" r:id="rId10"/>
    <sheet name="Methodology" sheetId="12" r:id="rId11"/>
  </sheets>
  <definedNames>
    <definedName name="_xlnm._FilterDatabase" localSheetId="7" hidden="1">'Residential Prices'!$B$4:$F$67</definedName>
    <definedName name="activestate">Profiles!$B$2</definedName>
    <definedName name="AFUE">AppTech!$B$13</definedName>
    <definedName name="Annual_Space_Heating_Requirements">'User Input'!$F$25</definedName>
    <definedName name="avgfamsize">Factors!$A$33</definedName>
    <definedName name="c_AnnualCooking">'User Input'!$F$59</definedName>
    <definedName name="c_AnnualDryer">'User Input'!$F$48</definedName>
    <definedName name="c_AnnualHeating">'User Input'!$F$25</definedName>
    <definedName name="c_AnnualWaterHeating">'User Input'!$F$38</definedName>
    <definedName name="c_City">'User Input'!$F$7</definedName>
    <definedName name="c_CO21">'User Input'!$J$85</definedName>
    <definedName name="c_CO22">'User Input'!$J$87</definedName>
    <definedName name="c_CookingEfficiency">'User Input'!$F$61</definedName>
    <definedName name="c_CookingSystem">'User Input'!$F$57</definedName>
    <definedName name="c_Dryer">'User Input'!$F$44</definedName>
    <definedName name="c_DryerEfficiency">'User Input'!$F$50</definedName>
    <definedName name="c_DryerLoads">'User Input'!$F$46</definedName>
    <definedName name="c_ElectricHeating">'User Input'!$F$23</definedName>
    <definedName name="c_Emission">'User Input'!$F$9</definedName>
    <definedName name="c_FamilySize">'User Input'!$F$32</definedName>
    <definedName name="c_GasHeating">'User Input'!$F$27</definedName>
    <definedName name="c_GasWaterHeating">'User Input'!$F$40</definedName>
    <definedName name="c_HeatingSource">'User Input'!$F$21</definedName>
    <definedName name="c_PriceElectricity">'User Input'!$I$12</definedName>
    <definedName name="c_PriceGas">'User Input'!$F$12</definedName>
    <definedName name="c_PriceOil">'User Input'!$L$12</definedName>
    <definedName name="c_PricePropane">'User Input'!$O$12</definedName>
    <definedName name="c_Range">'User Input'!$F$55</definedName>
    <definedName name="c_sqft">'User Input'!$F$19</definedName>
    <definedName name="c_State">'User Input'!$F$5</definedName>
    <definedName name="c_WaterHeatingSystem">'User Input'!$F$36</definedName>
    <definedName name="c_WaterHeatingType">'User Input'!$F$34</definedName>
    <definedName name="Canadian_Average_All_Sources">'Carbon Calculator'!$DC$9:$DC$19</definedName>
    <definedName name="city">'User Input'!$S$7</definedName>
    <definedName name="clothes_current">'User Input'!$E$50</definedName>
    <definedName name="cookeff">AppTech!$B$21</definedName>
    <definedName name="cookelecuse">AppTech!$B$25</definedName>
    <definedName name="cooking_current1">'User Input'!$E$59</definedName>
    <definedName name="cooking_current2">'User Input'!$E$61</definedName>
    <definedName name="ctype">'User Input'!$S$57</definedName>
    <definedName name="Current_Electric_Heating_System_Type">'User Input'!$F$23</definedName>
    <definedName name="data1">'User Input'!$E$69:$O$73</definedName>
    <definedName name="data2">'User Input'!$E$79:$O$81</definedName>
    <definedName name="dryerloads">'User Input'!$F$46</definedName>
    <definedName name="dtype">'User Input'!$S$44</definedName>
    <definedName name="eGRID_Subregions_Ave_All_Sources">'Carbon Calculator'!$CY$9:$CY$34</definedName>
    <definedName name="eGRID_Subregions_Average_Fossil">'Carbon Calculator'!$CZ$9:$CZ$34</definedName>
    <definedName name="elecheattype">'User Input'!#REF!</definedName>
    <definedName name="electric">Lists!$B$87:$B$89</definedName>
    <definedName name="electricity">'User Input'!$AA$6</definedName>
    <definedName name="electricity2">'User Input'!$AA$8</definedName>
    <definedName name="elecWHtype">'User Input'!#REF!</definedName>
    <definedName name="emisProfile">'User Input'!$S$9</definedName>
    <definedName name="Emissions_range">INDIRECT(SUBSTITUTE('Carbon Calculator'!$E$22," ","_"))</definedName>
    <definedName name="Emissions_Region">" =INDIRECT(SUBSTITUTE(TRIM(TEXT('Carbon Calculator'!E22,""""@"""")),"""" """",""""_"""")"</definedName>
    <definedName name="emissionscomp">'User Input'!#REF!</definedName>
    <definedName name="Energy_Source_for_Current_Heating_System">'User Input'!$F$21</definedName>
    <definedName name="Erates">'User Input'!$U$12</definedName>
    <definedName name="familysize">#REF!</definedName>
    <definedName name="famsize">'User Input'!$F$32</definedName>
    <definedName name="furntype">'User Input'!$S$26</definedName>
    <definedName name="gasWHtype">'User Input'!$S$40</definedName>
    <definedName name="Grid_Cooking">'User Input'!$E$55:$G$61</definedName>
    <definedName name="Grid_Dryer">'User Input'!$E$44:$G$50</definedName>
    <definedName name="Grid_Heating">'User Input'!$E$19:$G$27</definedName>
    <definedName name="Grid_WaterHeating">'User Input'!$E$32:$G$40</definedName>
    <definedName name="Grid1">'User Input'!$E$11:$H$14</definedName>
    <definedName name="Grid2">'User Input'!$I$11:$K$14</definedName>
    <definedName name="Grid3">'User Input'!$L$11:$N$14</definedName>
    <definedName name="Grid4">'User Input'!$O$11:$Q$14</definedName>
    <definedName name="heatload">'Heating Load'!$K$2</definedName>
    <definedName name="heattype">'User Input'!$S$21</definedName>
    <definedName name="homesize">Lists!$B$351:$B$353</definedName>
    <definedName name="InputGrid1">'User Input'!$E$12:$P$13</definedName>
    <definedName name="list_City">Lists!$H$119:$H$133</definedName>
    <definedName name="list_Dryer">Lists!$J$4:$J$6</definedName>
    <definedName name="list_ElectricHeating">Lists!$H$11:$H$17</definedName>
    <definedName name="list_Electricity">Lists!$D$115:$D$116</definedName>
    <definedName name="list_Emission">'Carbon Calculator'!$CU$8:$CU$10</definedName>
    <definedName name="list_EnergySource">Lists!$H$4:$H$7</definedName>
    <definedName name="list_GasHeating">Lists!$B$4:$B$10</definedName>
    <definedName name="list_Naturalgas">Lists!$B$115:$B$116</definedName>
    <definedName name="list_Oil">Lists!$G$115:$G$116</definedName>
    <definedName name="list_Propane">Lists!$I$115:$I$116</definedName>
    <definedName name="list_States">Lists!$B$21:$B$83</definedName>
    <definedName name="list_WaterElectricSystem">Lists!$H$18:$H$25</definedName>
    <definedName name="list_WaterHeatingGas">Lists!$B$94:$B$101</definedName>
    <definedName name="NERC_Average_All_Sources">'Carbon Calculator'!$DA$9:$DA$16</definedName>
    <definedName name="NERC_Average_Fossil">'Carbon Calculator'!$DB$9:$DB$16</definedName>
    <definedName name="NG">'User Input'!$Z$6</definedName>
    <definedName name="NG_2">'User Input'!$Z$8</definedName>
    <definedName name="NGrates">'User Input'!$S$12</definedName>
    <definedName name="Oil">Lists!$H$87:$H$91</definedName>
    <definedName name="oil_boolean">'User Input'!$AB$6</definedName>
    <definedName name="oil_boolean2">'User Input'!$AB$8</definedName>
    <definedName name="Orates">'User Input'!$W$12</definedName>
    <definedName name="pgs_auto_chart_data_01">Calc!$F$132:$H$137</definedName>
    <definedName name="pgs_auto_chart_data_02">Calc!$F$142:$H$144</definedName>
    <definedName name="pgs_auto_chart_data_03">Calc!$F$149:$H$154</definedName>
    <definedName name="pgs_auto_output_label_01">'User Input'!$D$3</definedName>
    <definedName name="pgs_auto_output_label_02">'User Input'!$O$5</definedName>
    <definedName name="pgs_auto_output_label_03">'User Input'!$D$17</definedName>
    <definedName name="pgs_auto_output_label_04">'User Input'!$D$30</definedName>
    <definedName name="pgs_auto_output_label_05">'User Input'!$D$42</definedName>
    <definedName name="pgs_auto_output_label_06">'User Input'!$D$53</definedName>
    <definedName name="pgs_auto_output_label_07">'User Input'!$D$66</definedName>
    <definedName name="Prates">'User Input'!$Y$12</definedName>
    <definedName name="_xlnm.Print_Area" localSheetId="5">Calc!$A$76:$C$95</definedName>
    <definedName name="_xlnm.Print_Area" localSheetId="0">'User Input'!$A$1:$Q$90</definedName>
    <definedName name="Propane">Lists!$L$87:$L$92</definedName>
    <definedName name="propane_boolean">'User Input'!$AC$6</definedName>
    <definedName name="propane_boolean2">'User Input'!$AC$8</definedName>
    <definedName name="Results_1">'User Input'!$E$66:$O$73</definedName>
    <definedName name="Results_2">'User Input'!$E$77:$O$81</definedName>
    <definedName name="space_current">'User Input'!$E$23</definedName>
    <definedName name="sqft">'User Input'!$F$19</definedName>
    <definedName name="Square_Footage_of_House__between_500_and_6_000_sqft">'User Input'!$F$19</definedName>
    <definedName name="state">'User Input'!$S$5</definedName>
    <definedName name="statelist">Lists!$B$21:$B$72</definedName>
    <definedName name="super1">'User Input'!$E$66:$O$68</definedName>
    <definedName name="super2">'User Input'!$E$77:$O$78</definedName>
    <definedName name="text1">'User Input'!$F$13</definedName>
    <definedName name="text2">'User Input'!$I$13</definedName>
    <definedName name="text3">'User Input'!$L$13</definedName>
    <definedName name="text4">'User Input'!$O$13</definedName>
    <definedName name="total_chart11">Calc!$G$137</definedName>
    <definedName name="total_chart12">Calc!$H$137</definedName>
    <definedName name="total_chart21">Calc!$G$154</definedName>
    <definedName name="total_chart22">Calc!$H$154</definedName>
    <definedName name="transloss">Factors!$A$29</definedName>
    <definedName name="Type_of_Natural_Gas_Heating_System_To_Compare">'User Input'!$F$27</definedName>
    <definedName name="u_input1">'User Input'!$F$14</definedName>
    <definedName name="u_input2">'User Input'!$I$14</definedName>
    <definedName name="u_input3">'User Input'!$L$14</definedName>
    <definedName name="u_input4">'User Input'!$O$14</definedName>
    <definedName name="unit_cooking">'User Input'!$G$59</definedName>
    <definedName name="US_Average_All_Sources">'Carbon Calculator'!$CW$9:$CW$60</definedName>
    <definedName name="US_Average_Fossil">'Carbon Calculator'!$CX$9:$CX$60</definedName>
    <definedName name="user_defined_label_i9">'User Input'!$I$9</definedName>
    <definedName name="water_current">'User Input'!$E$36</definedName>
    <definedName name="wheattype">'User Input'!$S$34</definedName>
  </definedNames>
  <calcPr calcId="191028"/>
  <fileRecoveryPr autoRecover="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Z8" i="1" l="1"/>
  <c r="AA8" i="1"/>
  <c r="AB8" i="1"/>
  <c r="AC8" i="1"/>
  <c r="AC6" i="1"/>
  <c r="AB6" i="1"/>
  <c r="AA6" i="1"/>
  <c r="Z6" i="1"/>
  <c r="Q13" i="1"/>
  <c r="Q14" i="1" s="1"/>
  <c r="N13" i="1"/>
  <c r="N14" i="1" s="1"/>
  <c r="K13" i="1"/>
  <c r="K14" i="1" s="1"/>
  <c r="H13" i="1"/>
  <c r="H14" i="1" s="1"/>
  <c r="P11" i="1" l="1"/>
  <c r="P12" i="1"/>
  <c r="M11" i="1"/>
  <c r="M12" i="1"/>
  <c r="J12" i="1"/>
  <c r="J11" i="1"/>
  <c r="G12" i="1"/>
  <c r="G11" i="1"/>
  <c r="E11" i="1"/>
  <c r="S57" i="1"/>
  <c r="S44" i="1"/>
  <c r="S40" i="1"/>
  <c r="S34" i="1"/>
  <c r="S26" i="1"/>
  <c r="S21" i="1"/>
  <c r="E23" i="1" s="1"/>
  <c r="Y12" i="1"/>
  <c r="W12" i="1"/>
  <c r="U12" i="1"/>
  <c r="S12" i="1"/>
  <c r="S9" i="1"/>
  <c r="E22" i="11" l="1"/>
  <c r="S5" i="1"/>
  <c r="H153" i="7"/>
  <c r="B63" i="7"/>
  <c r="B60" i="7"/>
  <c r="I9" i="1" l="1" a="1"/>
  <c r="I9" i="1" s="1"/>
  <c r="H12" i="2" a="1"/>
  <c r="H12" i="2" s="1"/>
  <c r="H13" i="2" a="1"/>
  <c r="H13" i="2" s="1"/>
  <c r="H14" i="2" a="1"/>
  <c r="H14" i="2" s="1"/>
  <c r="H11" i="2" a="1"/>
  <c r="H11" i="2" s="1"/>
  <c r="G6" i="6"/>
  <c r="G59" i="1"/>
  <c r="H19" i="2" a="1"/>
  <c r="H19" i="2" s="1"/>
  <c r="H20" i="2" a="1"/>
  <c r="H20" i="2" s="1"/>
  <c r="H21" i="2" a="1"/>
  <c r="H21" i="2" s="1"/>
  <c r="H22" i="2" a="1"/>
  <c r="H22" i="2" s="1"/>
  <c r="H23" i="2" a="1"/>
  <c r="H23" i="2" s="1"/>
  <c r="H24" i="2" a="1"/>
  <c r="H24" i="2" s="1"/>
  <c r="H25" i="2" a="1"/>
  <c r="H25" i="2" s="1"/>
  <c r="H18" i="2" a="1"/>
  <c r="H18" i="2" s="1"/>
  <c r="S36" i="1" s="1"/>
  <c r="E35" i="1" s="1" a="1"/>
  <c r="E35" i="1" s="1"/>
  <c r="E14" i="1"/>
  <c r="F59" i="1" l="1"/>
  <c r="B67" i="7"/>
  <c r="E59" i="1" l="1"/>
  <c r="H15" i="2" a="1"/>
  <c r="H15" i="2" s="1"/>
  <c r="H16" i="2" a="1"/>
  <c r="H16" i="2" s="1"/>
  <c r="H17" i="2" a="1"/>
  <c r="H17" i="2" s="1"/>
  <c r="L7" i="9"/>
  <c r="M7" i="9"/>
  <c r="N7" i="9"/>
  <c r="F50" i="1"/>
  <c r="E61" i="1"/>
  <c r="E36" i="1"/>
  <c r="E50" i="1"/>
  <c r="B27" i="7"/>
  <c r="B8" i="7"/>
  <c r="B2" i="3"/>
  <c r="P13" i="1"/>
  <c r="M13" i="1"/>
  <c r="J13" i="1"/>
  <c r="E13" i="1"/>
  <c r="G13" i="1"/>
  <c r="G60" i="7"/>
  <c r="S23" i="1" l="1"/>
  <c r="E22" i="1" s="1" a="1"/>
  <c r="E22" i="1" s="1"/>
  <c r="B2" i="8"/>
  <c r="F61" i="1"/>
  <c r="H9" i="2" l="1"/>
  <c r="H8" i="2"/>
  <c r="P14" i="1"/>
  <c r="M14" i="1"/>
  <c r="J14" i="1"/>
  <c r="G14" i="1"/>
  <c r="B123" i="7" l="1"/>
  <c r="B122" i="7"/>
  <c r="B30" i="7" l="1"/>
  <c r="F38" i="1" s="1"/>
  <c r="B28" i="7"/>
  <c r="E4" i="7"/>
  <c r="G25" i="7" l="1" a="1"/>
  <c r="G25" i="7" s="1"/>
  <c r="G26" i="7" s="1"/>
  <c r="G28" i="7" s="1"/>
  <c r="B34" i="7" a="1"/>
  <c r="B34" i="7" s="1"/>
  <c r="G34" i="7" a="1"/>
  <c r="G34" i="7" s="1"/>
  <c r="J25" i="7" a="1"/>
  <c r="J25" i="7" s="1"/>
  <c r="E3" i="7"/>
  <c r="G18" i="2"/>
  <c r="G11" i="2"/>
  <c r="H34" i="7" l="1"/>
  <c r="G35" i="7"/>
  <c r="G29" i="7"/>
  <c r="H25" i="7"/>
  <c r="J26" i="7"/>
  <c r="K25" i="7"/>
  <c r="C34" i="7"/>
  <c r="B35" i="7"/>
  <c r="G14" i="7" a="1"/>
  <c r="G14" i="7" s="1"/>
  <c r="H14" i="7" s="1"/>
  <c r="B13" i="7" a="1"/>
  <c r="B13" i="7" s="1"/>
  <c r="G8" i="7" a="1"/>
  <c r="G8" i="7" s="1"/>
  <c r="J8" i="7" a="1"/>
  <c r="J8" i="7" s="1"/>
  <c r="J9" i="7" s="1"/>
  <c r="B15" i="7" l="1"/>
  <c r="G37" i="7"/>
  <c r="G38" i="7" s="1"/>
  <c r="G15" i="7"/>
  <c r="K8" i="7"/>
  <c r="C13" i="7"/>
  <c r="G9" i="7"/>
  <c r="H8" i="7"/>
  <c r="CC206" i="11" l="1"/>
  <c r="CB206" i="11"/>
  <c r="CA206" i="11"/>
  <c r="BZ206" i="11"/>
  <c r="CC198" i="11"/>
  <c r="CC197" i="11"/>
  <c r="CC196" i="11"/>
  <c r="CC193" i="11"/>
  <c r="CC190" i="11"/>
  <c r="CC189" i="11"/>
  <c r="CC187" i="11"/>
  <c r="CB183" i="11"/>
  <c r="CA183" i="11"/>
  <c r="BZ183" i="11"/>
  <c r="CB182" i="11"/>
  <c r="CA182" i="11"/>
  <c r="BZ182" i="11"/>
  <c r="CB181" i="11"/>
  <c r="CA181" i="11"/>
  <c r="BZ181" i="11"/>
  <c r="CB180" i="11"/>
  <c r="CA180" i="11"/>
  <c r="BZ180" i="11"/>
  <c r="CB179" i="11"/>
  <c r="CA179" i="11"/>
  <c r="BZ179" i="11"/>
  <c r="CB178" i="11"/>
  <c r="CA178" i="11"/>
  <c r="BZ178" i="11"/>
  <c r="CB177" i="11"/>
  <c r="CA177" i="11"/>
  <c r="BZ177" i="11"/>
  <c r="CB176" i="11"/>
  <c r="CA176" i="11"/>
  <c r="BZ176" i="11"/>
  <c r="CB175" i="11"/>
  <c r="CA175" i="11"/>
  <c r="BZ175" i="11"/>
  <c r="CB174" i="11"/>
  <c r="CA174" i="11"/>
  <c r="BZ174" i="11"/>
  <c r="CB173" i="11"/>
  <c r="CA173" i="11"/>
  <c r="BZ173" i="11"/>
  <c r="CB172" i="11"/>
  <c r="CA172" i="11"/>
  <c r="BZ172" i="11"/>
  <c r="CB171" i="11"/>
  <c r="CA171" i="11"/>
  <c r="BZ171" i="11"/>
  <c r="CB170" i="11"/>
  <c r="CA170" i="11"/>
  <c r="BZ170" i="11"/>
  <c r="CB169" i="11"/>
  <c r="CA169" i="11"/>
  <c r="BZ169" i="11"/>
  <c r="CB168" i="11"/>
  <c r="CA168" i="11"/>
  <c r="BZ168" i="11"/>
  <c r="CB167" i="11"/>
  <c r="CA167" i="11"/>
  <c r="BZ167" i="11"/>
  <c r="CB166" i="11"/>
  <c r="CA166" i="11"/>
  <c r="BZ166" i="11"/>
  <c r="CB165" i="11"/>
  <c r="CA165" i="11"/>
  <c r="BZ165" i="11"/>
  <c r="CB164" i="11"/>
  <c r="CA164" i="11"/>
  <c r="BZ164" i="11"/>
  <c r="CB163" i="11"/>
  <c r="CA163" i="11"/>
  <c r="BZ163" i="11"/>
  <c r="CB162" i="11"/>
  <c r="CA162" i="11"/>
  <c r="BZ162" i="11"/>
  <c r="CB161" i="11"/>
  <c r="CA161" i="11"/>
  <c r="BZ161" i="11"/>
  <c r="CB160" i="11"/>
  <c r="CA160" i="11"/>
  <c r="BZ160" i="11"/>
  <c r="CB159" i="11"/>
  <c r="CA159" i="11"/>
  <c r="BZ159" i="11"/>
  <c r="CB158" i="11"/>
  <c r="CA158" i="11"/>
  <c r="BZ158" i="11"/>
  <c r="CB157" i="11"/>
  <c r="CA157" i="11"/>
  <c r="BZ157" i="11"/>
  <c r="CB156" i="11"/>
  <c r="CA156" i="11"/>
  <c r="BZ156" i="11"/>
  <c r="CB155" i="11"/>
  <c r="CA155" i="11"/>
  <c r="BZ155" i="11"/>
  <c r="CB154" i="11"/>
  <c r="CA154" i="11"/>
  <c r="BZ154" i="11"/>
  <c r="CB153" i="11"/>
  <c r="CA153" i="11"/>
  <c r="BZ153" i="11"/>
  <c r="CB152" i="11"/>
  <c r="CA152" i="11"/>
  <c r="BZ152" i="11"/>
  <c r="CB151" i="11"/>
  <c r="CA151" i="11"/>
  <c r="BZ151" i="11"/>
  <c r="CB150" i="11"/>
  <c r="CA150" i="11"/>
  <c r="BZ150" i="11"/>
  <c r="CB147" i="11"/>
  <c r="CA147" i="11"/>
  <c r="BZ147" i="11"/>
  <c r="CB146" i="11"/>
  <c r="CA146" i="11"/>
  <c r="BZ146" i="11"/>
  <c r="CB145" i="11"/>
  <c r="CA145" i="11"/>
  <c r="BZ145" i="11"/>
  <c r="CB144" i="11"/>
  <c r="CA144" i="11"/>
  <c r="BZ144" i="11"/>
  <c r="CB143" i="11"/>
  <c r="CA143" i="11"/>
  <c r="BZ143" i="11"/>
  <c r="CB142" i="11"/>
  <c r="CA142" i="11"/>
  <c r="BZ142" i="11"/>
  <c r="CB141" i="11"/>
  <c r="CA141" i="11"/>
  <c r="BZ141" i="11"/>
  <c r="CB140" i="11"/>
  <c r="CA140" i="11"/>
  <c r="BZ140" i="11"/>
  <c r="CB139" i="11"/>
  <c r="CA139" i="11"/>
  <c r="BZ139" i="11"/>
  <c r="CB138" i="11"/>
  <c r="CA138" i="11"/>
  <c r="BZ138" i="11"/>
  <c r="CB137" i="11"/>
  <c r="CA137" i="11"/>
  <c r="BZ137" i="11"/>
  <c r="CB136" i="11"/>
  <c r="CA136" i="11"/>
  <c r="BZ136" i="11"/>
  <c r="CB135" i="11"/>
  <c r="CA135" i="11"/>
  <c r="BZ135" i="11"/>
  <c r="CB134" i="11"/>
  <c r="CA134" i="11"/>
  <c r="BZ134" i="11"/>
  <c r="CB133" i="11"/>
  <c r="CA133" i="11"/>
  <c r="BZ133" i="11"/>
  <c r="CB132" i="11"/>
  <c r="CA132" i="11"/>
  <c r="BZ132" i="11"/>
  <c r="CB131" i="11"/>
  <c r="CA131" i="11"/>
  <c r="BZ131" i="11"/>
  <c r="CB130" i="11"/>
  <c r="CA130" i="11"/>
  <c r="BZ130" i="11"/>
  <c r="CB129" i="11"/>
  <c r="CA129" i="11"/>
  <c r="BZ129" i="11"/>
  <c r="CB128" i="11"/>
  <c r="CA128" i="11"/>
  <c r="BZ128" i="11"/>
  <c r="CB127" i="11"/>
  <c r="CA127" i="11"/>
  <c r="BZ127" i="11"/>
  <c r="CB126" i="11"/>
  <c r="CA126" i="11"/>
  <c r="BZ126" i="11"/>
  <c r="CB125" i="11"/>
  <c r="CA125" i="11"/>
  <c r="BZ125" i="11"/>
  <c r="CB124" i="11"/>
  <c r="CA124" i="11"/>
  <c r="BZ124" i="11"/>
  <c r="CB123" i="11"/>
  <c r="CA123" i="11"/>
  <c r="BZ123" i="11"/>
  <c r="CB122" i="11"/>
  <c r="CA122" i="11"/>
  <c r="BZ122" i="11"/>
  <c r="CB121" i="11"/>
  <c r="CA121" i="11"/>
  <c r="BZ121" i="11"/>
  <c r="CB120" i="11"/>
  <c r="CA120" i="11"/>
  <c r="BZ120" i="11"/>
  <c r="CB119" i="11"/>
  <c r="CA119" i="11"/>
  <c r="BZ119" i="11"/>
  <c r="CB118" i="11"/>
  <c r="CA118" i="11"/>
  <c r="BZ118" i="11"/>
  <c r="CB117" i="11"/>
  <c r="CA117" i="11"/>
  <c r="BZ117" i="11"/>
  <c r="CB116" i="11"/>
  <c r="CA116" i="11"/>
  <c r="BZ116" i="11"/>
  <c r="CB115" i="11"/>
  <c r="CA115" i="11"/>
  <c r="BZ115" i="11"/>
  <c r="CB114" i="11"/>
  <c r="CA114" i="11"/>
  <c r="BZ114" i="11"/>
  <c r="E113" i="11"/>
  <c r="CB112" i="11"/>
  <c r="CA112" i="11"/>
  <c r="BZ112" i="11"/>
  <c r="E112" i="11"/>
  <c r="CB111" i="11"/>
  <c r="CA111" i="11"/>
  <c r="BZ111" i="11"/>
  <c r="E111" i="11"/>
  <c r="G30" i="7" s="1"/>
  <c r="CB110" i="11"/>
  <c r="CA110" i="11"/>
  <c r="BZ110" i="11"/>
  <c r="E110" i="11"/>
  <c r="CB109" i="11"/>
  <c r="CA109" i="11"/>
  <c r="BZ109" i="11"/>
  <c r="E109" i="11"/>
  <c r="CB108" i="11"/>
  <c r="CA108" i="11"/>
  <c r="BZ108" i="11"/>
  <c r="E108" i="11"/>
  <c r="CS107" i="11"/>
  <c r="CB107" i="11"/>
  <c r="CA107" i="11"/>
  <c r="BZ107" i="11"/>
  <c r="CS106" i="11"/>
  <c r="CB106" i="11"/>
  <c r="CA106" i="11"/>
  <c r="BZ106" i="11"/>
  <c r="E106" i="11"/>
  <c r="CS105" i="11"/>
  <c r="CB105" i="11"/>
  <c r="CA105" i="11"/>
  <c r="BZ105" i="11"/>
  <c r="E105" i="11"/>
  <c r="G67" i="7" s="1"/>
  <c r="CS104" i="11"/>
  <c r="CB104" i="11"/>
  <c r="CA104" i="11"/>
  <c r="BZ104" i="11"/>
  <c r="CS103" i="11"/>
  <c r="CB103" i="11"/>
  <c r="CA103" i="11"/>
  <c r="BZ103" i="11"/>
  <c r="CS102" i="11"/>
  <c r="CB102" i="11"/>
  <c r="CA102" i="11"/>
  <c r="BZ102" i="11"/>
  <c r="CS101" i="11"/>
  <c r="CB101" i="11"/>
  <c r="CA101" i="11"/>
  <c r="BZ101" i="11"/>
  <c r="CS100" i="11"/>
  <c r="CB100" i="11"/>
  <c r="CA100" i="11"/>
  <c r="BZ100" i="11"/>
  <c r="CS99" i="11"/>
  <c r="CB99" i="11"/>
  <c r="CA99" i="11"/>
  <c r="BZ99" i="11"/>
  <c r="CS98" i="11"/>
  <c r="CB98" i="11"/>
  <c r="CA98" i="11"/>
  <c r="BZ98" i="11"/>
  <c r="CS97" i="11"/>
  <c r="CB97" i="11"/>
  <c r="CA97" i="11"/>
  <c r="BZ97" i="11"/>
  <c r="CB96" i="11"/>
  <c r="CA96" i="11"/>
  <c r="BZ96" i="11"/>
  <c r="CB95" i="11"/>
  <c r="CA95" i="11"/>
  <c r="BZ95" i="11"/>
  <c r="S95" i="11"/>
  <c r="Q95" i="11"/>
  <c r="Q126" i="11" s="1"/>
  <c r="Q33" i="11" s="1"/>
  <c r="O95" i="11"/>
  <c r="M95" i="11"/>
  <c r="I95" i="11"/>
  <c r="CB94" i="11"/>
  <c r="CA94" i="11"/>
  <c r="BZ94" i="11"/>
  <c r="BA94" i="11"/>
  <c r="CC183" i="11" s="1"/>
  <c r="AZ94" i="11"/>
  <c r="CC147" i="11" s="1"/>
  <c r="S94" i="11"/>
  <c r="Q94" i="11"/>
  <c r="Q125" i="11" s="1"/>
  <c r="Q50" i="11" s="1"/>
  <c r="O94" i="11"/>
  <c r="O122" i="11" s="1"/>
  <c r="O32" i="11" s="1"/>
  <c r="K94" i="11"/>
  <c r="I94" i="11"/>
  <c r="I122" i="11" s="1"/>
  <c r="I32" i="11" s="1"/>
  <c r="CB93" i="11"/>
  <c r="CA93" i="11"/>
  <c r="BZ93" i="11"/>
  <c r="BA93" i="11"/>
  <c r="CC182" i="11" s="1"/>
  <c r="AZ93" i="11"/>
  <c r="CC146" i="11" s="1"/>
  <c r="S93" i="11"/>
  <c r="S31" i="11" s="1"/>
  <c r="Q93" i="11"/>
  <c r="Q118" i="11" s="1"/>
  <c r="O93" i="11"/>
  <c r="O118" i="11" s="1"/>
  <c r="M93" i="11"/>
  <c r="M31" i="11" s="1"/>
  <c r="K93" i="11"/>
  <c r="K31" i="11" s="1"/>
  <c r="CB92" i="11"/>
  <c r="CA92" i="11"/>
  <c r="BZ92" i="11"/>
  <c r="BA92" i="11"/>
  <c r="CC181" i="11" s="1"/>
  <c r="AZ92" i="11"/>
  <c r="CC145" i="11" s="1"/>
  <c r="S92" i="11"/>
  <c r="Q92" i="11"/>
  <c r="O92" i="11"/>
  <c r="M92" i="11"/>
  <c r="K92" i="11"/>
  <c r="CB91" i="11"/>
  <c r="CA91" i="11"/>
  <c r="BZ91" i="11"/>
  <c r="BA91" i="11"/>
  <c r="CC180" i="11" s="1"/>
  <c r="AZ91" i="11"/>
  <c r="CC144" i="11" s="1"/>
  <c r="CB90" i="11"/>
  <c r="CA90" i="11"/>
  <c r="BZ90" i="11"/>
  <c r="BA90" i="11"/>
  <c r="CC179" i="11" s="1"/>
  <c r="AZ90" i="11"/>
  <c r="CC143" i="11" s="1"/>
  <c r="CB89" i="11"/>
  <c r="CA89" i="11"/>
  <c r="BZ89" i="11"/>
  <c r="BA89" i="11"/>
  <c r="CC178" i="11" s="1"/>
  <c r="AZ89" i="11"/>
  <c r="CC142" i="11" s="1"/>
  <c r="CB88" i="11"/>
  <c r="CA88" i="11"/>
  <c r="BZ88" i="11"/>
  <c r="BA88" i="11"/>
  <c r="CC177" i="11" s="1"/>
  <c r="AZ88" i="11"/>
  <c r="CC141" i="11" s="1"/>
  <c r="O88" i="11"/>
  <c r="CB87" i="11"/>
  <c r="CA87" i="11"/>
  <c r="BZ87" i="11"/>
  <c r="BA87" i="11"/>
  <c r="CC176" i="11" s="1"/>
  <c r="AZ87" i="11"/>
  <c r="CC140" i="11" s="1"/>
  <c r="CB86" i="11"/>
  <c r="CA86" i="11"/>
  <c r="BZ86" i="11"/>
  <c r="BA86" i="11"/>
  <c r="CC175" i="11" s="1"/>
  <c r="AZ86" i="11"/>
  <c r="CC139" i="11" s="1"/>
  <c r="CB85" i="11"/>
  <c r="CA85" i="11"/>
  <c r="BZ85" i="11"/>
  <c r="BA85" i="11"/>
  <c r="CC174" i="11" s="1"/>
  <c r="AZ85" i="11"/>
  <c r="CC138" i="11" s="1"/>
  <c r="CB84" i="11"/>
  <c r="CA84" i="11"/>
  <c r="BZ84" i="11"/>
  <c r="BA84" i="11"/>
  <c r="CC173" i="11" s="1"/>
  <c r="AZ84" i="11"/>
  <c r="CC137" i="11" s="1"/>
  <c r="CB83" i="11"/>
  <c r="CA83" i="11"/>
  <c r="BZ83" i="11"/>
  <c r="BA83" i="11"/>
  <c r="CC172" i="11" s="1"/>
  <c r="AZ83" i="11"/>
  <c r="CC136" i="11" s="1"/>
  <c r="CB82" i="11"/>
  <c r="CA82" i="11"/>
  <c r="BZ82" i="11"/>
  <c r="BA82" i="11"/>
  <c r="CC171" i="11" s="1"/>
  <c r="AZ82" i="11"/>
  <c r="CC135" i="11" s="1"/>
  <c r="CB81" i="11"/>
  <c r="CA81" i="11"/>
  <c r="BZ81" i="11"/>
  <c r="BA81" i="11"/>
  <c r="CC170" i="11" s="1"/>
  <c r="AZ81" i="11"/>
  <c r="CC134" i="11" s="1"/>
  <c r="CB80" i="11"/>
  <c r="CA80" i="11"/>
  <c r="BZ80" i="11"/>
  <c r="BA80" i="11"/>
  <c r="CC169" i="11" s="1"/>
  <c r="AZ80" i="11"/>
  <c r="CC133" i="11" s="1"/>
  <c r="CB79" i="11"/>
  <c r="CA79" i="11"/>
  <c r="BZ79" i="11"/>
  <c r="BA79" i="11"/>
  <c r="CC168" i="11" s="1"/>
  <c r="AZ79" i="11"/>
  <c r="CC132" i="11" s="1"/>
  <c r="CB78" i="11"/>
  <c r="CA78" i="11"/>
  <c r="BZ78" i="11"/>
  <c r="BA78" i="11"/>
  <c r="CC167" i="11" s="1"/>
  <c r="AZ78" i="11"/>
  <c r="CC131" i="11" s="1"/>
  <c r="CB77" i="11"/>
  <c r="CA77" i="11"/>
  <c r="BZ77" i="11"/>
  <c r="BA77" i="11"/>
  <c r="CC166" i="11" s="1"/>
  <c r="AZ77" i="11"/>
  <c r="CC130" i="11" s="1"/>
  <c r="CB76" i="11"/>
  <c r="CA76" i="11"/>
  <c r="BZ76" i="11"/>
  <c r="BA76" i="11"/>
  <c r="CC165" i="11" s="1"/>
  <c r="AZ76" i="11"/>
  <c r="CC129" i="11" s="1"/>
  <c r="CB75" i="11"/>
  <c r="CA75" i="11"/>
  <c r="BZ75" i="11"/>
  <c r="BA75" i="11"/>
  <c r="CC164" i="11" s="1"/>
  <c r="AZ75" i="11"/>
  <c r="CC128" i="11" s="1"/>
  <c r="CB74" i="11"/>
  <c r="CA74" i="11"/>
  <c r="BZ74" i="11"/>
  <c r="BA74" i="11"/>
  <c r="CC163" i="11" s="1"/>
  <c r="AZ74" i="11"/>
  <c r="CC127" i="11" s="1"/>
  <c r="CB73" i="11"/>
  <c r="CA73" i="11"/>
  <c r="BZ73" i="11"/>
  <c r="BA73" i="11"/>
  <c r="CC162" i="11" s="1"/>
  <c r="AZ73" i="11"/>
  <c r="CC126" i="11" s="1"/>
  <c r="CB72" i="11"/>
  <c r="CA72" i="11"/>
  <c r="BZ72" i="11"/>
  <c r="BA72" i="11"/>
  <c r="CC161" i="11" s="1"/>
  <c r="AZ72" i="11"/>
  <c r="CC125" i="11" s="1"/>
  <c r="CB71" i="11"/>
  <c r="CA71" i="11"/>
  <c r="BZ71" i="11"/>
  <c r="BA71" i="11"/>
  <c r="CC160" i="11" s="1"/>
  <c r="AZ71" i="11"/>
  <c r="CC124" i="11" s="1"/>
  <c r="E71" i="11"/>
  <c r="E107" i="11" s="1"/>
  <c r="CB70" i="11"/>
  <c r="CA70" i="11"/>
  <c r="BZ70" i="11"/>
  <c r="BA70" i="11"/>
  <c r="CC159" i="11" s="1"/>
  <c r="AZ70" i="11"/>
  <c r="CC123" i="11" s="1"/>
  <c r="CB69" i="11"/>
  <c r="CA69" i="11"/>
  <c r="BZ69" i="11"/>
  <c r="BA69" i="11"/>
  <c r="CC158" i="11" s="1"/>
  <c r="AZ69" i="11"/>
  <c r="CC122" i="11" s="1"/>
  <c r="CB68" i="11"/>
  <c r="CA68" i="11"/>
  <c r="BZ68" i="11"/>
  <c r="BA68" i="11"/>
  <c r="CC157" i="11" s="1"/>
  <c r="AZ68" i="11"/>
  <c r="CC121" i="11" s="1"/>
  <c r="CB67" i="11"/>
  <c r="CA67" i="11"/>
  <c r="BZ67" i="11"/>
  <c r="BA67" i="11"/>
  <c r="CC156" i="11" s="1"/>
  <c r="AZ67" i="11"/>
  <c r="CC120" i="11" s="1"/>
  <c r="CB66" i="11"/>
  <c r="CA66" i="11"/>
  <c r="BZ66" i="11"/>
  <c r="BA66" i="11"/>
  <c r="CC155" i="11" s="1"/>
  <c r="AZ66" i="11"/>
  <c r="CC119" i="11" s="1"/>
  <c r="CB65" i="11"/>
  <c r="CA65" i="11"/>
  <c r="BZ65" i="11"/>
  <c r="BA65" i="11"/>
  <c r="CC154" i="11" s="1"/>
  <c r="AZ65" i="11"/>
  <c r="CC118" i="11" s="1"/>
  <c r="CB64" i="11"/>
  <c r="CA64" i="11"/>
  <c r="BZ64" i="11"/>
  <c r="BA64" i="11"/>
  <c r="CC153" i="11" s="1"/>
  <c r="AZ64" i="11"/>
  <c r="CC117" i="11" s="1"/>
  <c r="CB63" i="11"/>
  <c r="CA63" i="11"/>
  <c r="BZ63" i="11"/>
  <c r="BA63" i="11"/>
  <c r="CC152" i="11" s="1"/>
  <c r="AZ63" i="11"/>
  <c r="CC116" i="11" s="1"/>
  <c r="CB62" i="11"/>
  <c r="CA62" i="11"/>
  <c r="BZ62" i="11"/>
  <c r="BA62" i="11"/>
  <c r="CC151" i="11" s="1"/>
  <c r="AZ62" i="11"/>
  <c r="CC115" i="11" s="1"/>
  <c r="CB61" i="11"/>
  <c r="CA61" i="11"/>
  <c r="BZ61" i="11"/>
  <c r="BA61" i="11"/>
  <c r="CC150" i="11" s="1"/>
  <c r="AZ61" i="11"/>
  <c r="CC114" i="11" s="1"/>
  <c r="BA60" i="11"/>
  <c r="CC112" i="11" s="1"/>
  <c r="AZ60" i="11"/>
  <c r="CC59" i="11" s="1"/>
  <c r="CB59" i="11"/>
  <c r="CA59" i="11"/>
  <c r="BZ59" i="11"/>
  <c r="BY59" i="11"/>
  <c r="BA59" i="11"/>
  <c r="CC111" i="11" s="1"/>
  <c r="AZ59" i="11"/>
  <c r="CC58" i="11" s="1"/>
  <c r="CB58" i="11"/>
  <c r="CA58" i="11"/>
  <c r="BZ58" i="11"/>
  <c r="BY58" i="11"/>
  <c r="BA58" i="11"/>
  <c r="CC110" i="11" s="1"/>
  <c r="AZ58" i="11"/>
  <c r="CC57" i="11" s="1"/>
  <c r="CB57" i="11"/>
  <c r="CA57" i="11"/>
  <c r="BZ57" i="11"/>
  <c r="BY57" i="11"/>
  <c r="BA57" i="11"/>
  <c r="CC109" i="11" s="1"/>
  <c r="AZ57" i="11"/>
  <c r="CC56" i="11" s="1"/>
  <c r="CB56" i="11"/>
  <c r="CA56" i="11"/>
  <c r="BZ56" i="11"/>
  <c r="BY56" i="11"/>
  <c r="BA56" i="11"/>
  <c r="CC108" i="11" s="1"/>
  <c r="AZ56" i="11"/>
  <c r="CC55" i="11" s="1"/>
  <c r="CB55" i="11"/>
  <c r="CA55" i="11"/>
  <c r="BZ55" i="11"/>
  <c r="BY55" i="11"/>
  <c r="BA55" i="11"/>
  <c r="CC107" i="11" s="1"/>
  <c r="AZ55" i="11"/>
  <c r="CC54" i="11" s="1"/>
  <c r="CB54" i="11"/>
  <c r="CA54" i="11"/>
  <c r="BZ54" i="11"/>
  <c r="BY54" i="11"/>
  <c r="BA54" i="11"/>
  <c r="CC106" i="11" s="1"/>
  <c r="AZ54" i="11"/>
  <c r="CC53" i="11" s="1"/>
  <c r="CB53" i="11"/>
  <c r="CA53" i="11"/>
  <c r="BZ53" i="11"/>
  <c r="BY53" i="11"/>
  <c r="BA53" i="11"/>
  <c r="CC105" i="11" s="1"/>
  <c r="AZ53" i="11"/>
  <c r="CC52" i="11" s="1"/>
  <c r="CB52" i="11"/>
  <c r="CA52" i="11"/>
  <c r="BZ52" i="11"/>
  <c r="BY52" i="11"/>
  <c r="BA52" i="11"/>
  <c r="CC104" i="11" s="1"/>
  <c r="AZ52" i="11"/>
  <c r="CC51" i="11" s="1"/>
  <c r="CB51" i="11"/>
  <c r="CA51" i="11"/>
  <c r="BZ51" i="11"/>
  <c r="BY51" i="11"/>
  <c r="BA51" i="11"/>
  <c r="CC103" i="11" s="1"/>
  <c r="AZ51" i="11"/>
  <c r="CC50" i="11"/>
  <c r="CB50" i="11"/>
  <c r="CA50" i="11"/>
  <c r="BZ50" i="11"/>
  <c r="BY50" i="11"/>
  <c r="BA50" i="11"/>
  <c r="CC102" i="11" s="1"/>
  <c r="AZ50" i="11"/>
  <c r="CC49" i="11" s="1"/>
  <c r="CB49" i="11"/>
  <c r="CA49" i="11"/>
  <c r="BZ49" i="11"/>
  <c r="BY49" i="11"/>
  <c r="BA49" i="11"/>
  <c r="CC101" i="11" s="1"/>
  <c r="AZ49" i="11"/>
  <c r="CC48" i="11" s="1"/>
  <c r="CB48" i="11"/>
  <c r="CA48" i="11"/>
  <c r="BZ48" i="11"/>
  <c r="BY48" i="11"/>
  <c r="BA48" i="11"/>
  <c r="CC100" i="11" s="1"/>
  <c r="AZ48" i="11"/>
  <c r="CC47" i="11" s="1"/>
  <c r="CB47" i="11"/>
  <c r="CA47" i="11"/>
  <c r="BZ47" i="11"/>
  <c r="BY47" i="11"/>
  <c r="BA47" i="11"/>
  <c r="CC99" i="11" s="1"/>
  <c r="AZ47" i="11"/>
  <c r="CC46" i="11" s="1"/>
  <c r="CB46" i="11"/>
  <c r="CA46" i="11"/>
  <c r="BZ46" i="11"/>
  <c r="BY46" i="11"/>
  <c r="BA46" i="11"/>
  <c r="CC98" i="11" s="1"/>
  <c r="AZ46" i="11"/>
  <c r="CC45" i="11" s="1"/>
  <c r="CB45" i="11"/>
  <c r="CA45" i="11"/>
  <c r="BZ45" i="11"/>
  <c r="BY45" i="11"/>
  <c r="BA45" i="11"/>
  <c r="CC97" i="11" s="1"/>
  <c r="AZ45" i="11"/>
  <c r="CC44" i="11" s="1"/>
  <c r="CB44" i="11"/>
  <c r="CA44" i="11"/>
  <c r="BZ44" i="11"/>
  <c r="BY44" i="11"/>
  <c r="BA44" i="11"/>
  <c r="CC96" i="11" s="1"/>
  <c r="AZ44" i="11"/>
  <c r="CC43" i="11" s="1"/>
  <c r="CB43" i="11"/>
  <c r="CA43" i="11"/>
  <c r="BZ43" i="11"/>
  <c r="BY43" i="11"/>
  <c r="BA43" i="11"/>
  <c r="CC95" i="11" s="1"/>
  <c r="AZ43" i="11"/>
  <c r="CC42" i="11" s="1"/>
  <c r="CB42" i="11"/>
  <c r="CA42" i="11"/>
  <c r="BZ42" i="11"/>
  <c r="BY42" i="11"/>
  <c r="BA42" i="11"/>
  <c r="CC94" i="11" s="1"/>
  <c r="AZ42" i="11"/>
  <c r="CC41" i="11" s="1"/>
  <c r="CB41" i="11"/>
  <c r="CA41" i="11"/>
  <c r="BZ41" i="11"/>
  <c r="BY41" i="11"/>
  <c r="BA41" i="11"/>
  <c r="CC93" i="11" s="1"/>
  <c r="AZ41" i="11"/>
  <c r="CC40" i="11" s="1"/>
  <c r="CB40" i="11"/>
  <c r="CA40" i="11"/>
  <c r="BZ40" i="11"/>
  <c r="BY40" i="11"/>
  <c r="BA40" i="11"/>
  <c r="CC92" i="11" s="1"/>
  <c r="AZ40" i="11"/>
  <c r="CC39" i="11" s="1"/>
  <c r="CB39" i="11"/>
  <c r="CA39" i="11"/>
  <c r="BZ39" i="11"/>
  <c r="BY39" i="11"/>
  <c r="BA39" i="11"/>
  <c r="CC91" i="11" s="1"/>
  <c r="AZ39" i="11"/>
  <c r="CC38" i="11" s="1"/>
  <c r="CB38" i="11"/>
  <c r="CA38" i="11"/>
  <c r="BZ38" i="11"/>
  <c r="BY38" i="11"/>
  <c r="BA38" i="11"/>
  <c r="CC90" i="11" s="1"/>
  <c r="AZ38" i="11"/>
  <c r="CC37" i="11" s="1"/>
  <c r="CB37" i="11"/>
  <c r="CA37" i="11"/>
  <c r="BZ37" i="11"/>
  <c r="BY37" i="11"/>
  <c r="BA37" i="11"/>
  <c r="CC89" i="11" s="1"/>
  <c r="AZ37" i="11"/>
  <c r="CC36" i="11" s="1"/>
  <c r="CB36" i="11"/>
  <c r="CA36" i="11"/>
  <c r="BZ36" i="11"/>
  <c r="BY36" i="11"/>
  <c r="BA36" i="11"/>
  <c r="CC88" i="11" s="1"/>
  <c r="AZ36" i="11"/>
  <c r="CC35" i="11" s="1"/>
  <c r="CB35" i="11"/>
  <c r="CA35" i="11"/>
  <c r="BZ35" i="11"/>
  <c r="BY35" i="11"/>
  <c r="BA35" i="11"/>
  <c r="CC87" i="11" s="1"/>
  <c r="AZ35" i="11"/>
  <c r="CB34" i="11"/>
  <c r="CA34" i="11"/>
  <c r="BZ34" i="11"/>
  <c r="BY34" i="11"/>
  <c r="BA34" i="11"/>
  <c r="CC86" i="11" s="1"/>
  <c r="AZ34" i="11"/>
  <c r="CC34" i="11" s="1"/>
  <c r="CB33" i="11"/>
  <c r="CA33" i="11"/>
  <c r="BZ33" i="11"/>
  <c r="BY33" i="11"/>
  <c r="BA33" i="11"/>
  <c r="CC85" i="11" s="1"/>
  <c r="AZ33" i="11"/>
  <c r="CC33" i="11" s="1"/>
  <c r="CB32" i="11"/>
  <c r="CA32" i="11"/>
  <c r="BZ32" i="11"/>
  <c r="BY32" i="11"/>
  <c r="BA32" i="11"/>
  <c r="CC84" i="11" s="1"/>
  <c r="AZ32" i="11"/>
  <c r="CC32" i="11" s="1"/>
  <c r="CB31" i="11"/>
  <c r="CA31" i="11"/>
  <c r="BZ31" i="11"/>
  <c r="BY31" i="11"/>
  <c r="BA31" i="11"/>
  <c r="CC83" i="11" s="1"/>
  <c r="AZ31" i="11"/>
  <c r="CC31" i="11" s="1"/>
  <c r="CB30" i="11"/>
  <c r="CA30" i="11"/>
  <c r="BZ30" i="11"/>
  <c r="BY30" i="11"/>
  <c r="BA30" i="11"/>
  <c r="CC82" i="11" s="1"/>
  <c r="AZ30" i="11"/>
  <c r="CC30" i="11" s="1"/>
  <c r="CB29" i="11"/>
  <c r="CA29" i="11"/>
  <c r="BZ29" i="11"/>
  <c r="BY29" i="11"/>
  <c r="BA29" i="11"/>
  <c r="CC81" i="11" s="1"/>
  <c r="AZ29" i="11"/>
  <c r="CC29" i="11" s="1"/>
  <c r="CB28" i="11"/>
  <c r="CA28" i="11"/>
  <c r="BZ28" i="11"/>
  <c r="BY28" i="11"/>
  <c r="BA28" i="11"/>
  <c r="CC80" i="11" s="1"/>
  <c r="AZ28" i="11"/>
  <c r="CC28" i="11" s="1"/>
  <c r="S28" i="11"/>
  <c r="Q28" i="11"/>
  <c r="O28" i="11"/>
  <c r="M28" i="11"/>
  <c r="K28" i="11"/>
  <c r="I28" i="11"/>
  <c r="CB27" i="11"/>
  <c r="CA27" i="11"/>
  <c r="BZ27" i="11"/>
  <c r="BY27" i="11"/>
  <c r="BA27" i="11"/>
  <c r="CC79" i="11" s="1"/>
  <c r="AZ27" i="11"/>
  <c r="CC27" i="11" s="1"/>
  <c r="I27" i="11"/>
  <c r="CB26" i="11"/>
  <c r="CA26" i="11"/>
  <c r="BZ26" i="11"/>
  <c r="BY26" i="11"/>
  <c r="BA26" i="11"/>
  <c r="CC78" i="11" s="1"/>
  <c r="AZ26" i="11"/>
  <c r="CC26" i="11" s="1"/>
  <c r="CB25" i="11"/>
  <c r="CA25" i="11"/>
  <c r="BZ25" i="11"/>
  <c r="BY25" i="11"/>
  <c r="BA25" i="11"/>
  <c r="CC77" i="11" s="1"/>
  <c r="AZ25" i="11"/>
  <c r="CC25" i="11" s="1"/>
  <c r="F25" i="11"/>
  <c r="E26" i="11" s="1"/>
  <c r="CB24" i="11"/>
  <c r="CA24" i="11"/>
  <c r="BZ24" i="11"/>
  <c r="BY24" i="11"/>
  <c r="BA24" i="11"/>
  <c r="CC76" i="11" s="1"/>
  <c r="AZ24" i="11"/>
  <c r="CC24" i="11" s="1"/>
  <c r="CB23" i="11"/>
  <c r="CA23" i="11"/>
  <c r="BZ23" i="11"/>
  <c r="BY23" i="11"/>
  <c r="BA23" i="11"/>
  <c r="CC75" i="11" s="1"/>
  <c r="AZ23" i="11"/>
  <c r="CC23" i="11" s="1"/>
  <c r="CB22" i="11"/>
  <c r="CA22" i="11"/>
  <c r="BZ22" i="11"/>
  <c r="BY22" i="11"/>
  <c r="BA22" i="11"/>
  <c r="CC74" i="11" s="1"/>
  <c r="AZ22" i="11"/>
  <c r="CC22" i="11" s="1"/>
  <c r="CB21" i="11"/>
  <c r="CA21" i="11"/>
  <c r="BZ21" i="11"/>
  <c r="BY21" i="11"/>
  <c r="BA21" i="11"/>
  <c r="CC73" i="11" s="1"/>
  <c r="AZ21" i="11"/>
  <c r="CC21" i="11" s="1"/>
  <c r="CB20" i="11"/>
  <c r="CA20" i="11"/>
  <c r="BZ20" i="11"/>
  <c r="BY20" i="11"/>
  <c r="BH20" i="11"/>
  <c r="BA20" i="11"/>
  <c r="CC72" i="11" s="1"/>
  <c r="AZ20" i="11"/>
  <c r="CC20" i="11" s="1"/>
  <c r="CB19" i="11"/>
  <c r="CA19" i="11"/>
  <c r="BZ19" i="11"/>
  <c r="BY19" i="11"/>
  <c r="CA198" i="11"/>
  <c r="CB198" i="11"/>
  <c r="BZ198" i="11"/>
  <c r="BQ19" i="11"/>
  <c r="BP19" i="11"/>
  <c r="BH19" i="11"/>
  <c r="BA19" i="11"/>
  <c r="CC71" i="11" s="1"/>
  <c r="AZ19" i="11"/>
  <c r="CC19" i="11" s="1"/>
  <c r="CB18" i="11"/>
  <c r="CA18" i="11"/>
  <c r="BZ18" i="11"/>
  <c r="BY18" i="11"/>
  <c r="CA197" i="11"/>
  <c r="CB197" i="11"/>
  <c r="BZ197" i="11"/>
  <c r="BQ18" i="11"/>
  <c r="BP18" i="11"/>
  <c r="BH18" i="11"/>
  <c r="BA18" i="11"/>
  <c r="CC70" i="11" s="1"/>
  <c r="AZ18" i="11"/>
  <c r="CC18" i="11" s="1"/>
  <c r="CB17" i="11"/>
  <c r="CA17" i="11"/>
  <c r="BZ17" i="11"/>
  <c r="BY17" i="11"/>
  <c r="CA196" i="11"/>
  <c r="CB196" i="11"/>
  <c r="BZ196" i="11"/>
  <c r="BQ17" i="11"/>
  <c r="BP17" i="11"/>
  <c r="BH17" i="11"/>
  <c r="BA17" i="11"/>
  <c r="CC69" i="11" s="1"/>
  <c r="AZ17" i="11"/>
  <c r="CC17" i="11" s="1"/>
  <c r="CB16" i="11"/>
  <c r="CA16" i="11"/>
  <c r="BZ16" i="11"/>
  <c r="BY16" i="11"/>
  <c r="CA195" i="11"/>
  <c r="CB195" i="11"/>
  <c r="BQ16" i="11"/>
  <c r="BP16" i="11"/>
  <c r="BH16" i="11"/>
  <c r="BA16" i="11"/>
  <c r="CC68" i="11" s="1"/>
  <c r="AZ16" i="11"/>
  <c r="CC16" i="11" s="1"/>
  <c r="CB15" i="11"/>
  <c r="CA15" i="11"/>
  <c r="BZ15" i="11"/>
  <c r="BY15" i="11"/>
  <c r="CA194" i="11"/>
  <c r="CB194" i="11"/>
  <c r="BQ15" i="11"/>
  <c r="BP15" i="11"/>
  <c r="BH15" i="11"/>
  <c r="BA15" i="11"/>
  <c r="CC67" i="11" s="1"/>
  <c r="AZ15" i="11"/>
  <c r="CC15" i="11" s="1"/>
  <c r="CB14" i="11"/>
  <c r="CA14" i="11"/>
  <c r="BZ14" i="11"/>
  <c r="BY14" i="11"/>
  <c r="CA193" i="11"/>
  <c r="CB193" i="11"/>
  <c r="BZ193" i="11"/>
  <c r="BQ14" i="11"/>
  <c r="BP14" i="11"/>
  <c r="BH14" i="11"/>
  <c r="BA14" i="11"/>
  <c r="CC66" i="11" s="1"/>
  <c r="AZ14" i="11"/>
  <c r="CC14" i="11" s="1"/>
  <c r="CB13" i="11"/>
  <c r="CA13" i="11"/>
  <c r="BZ13" i="11"/>
  <c r="BY13" i="11"/>
  <c r="CA191" i="11"/>
  <c r="CB191" i="11"/>
  <c r="BQ13" i="11"/>
  <c r="BP13" i="11"/>
  <c r="BH13" i="11"/>
  <c r="BA13" i="11"/>
  <c r="CC65" i="11" s="1"/>
  <c r="AZ13" i="11"/>
  <c r="CC13" i="11" s="1"/>
  <c r="CB12" i="11"/>
  <c r="CA12" i="11"/>
  <c r="BZ12" i="11"/>
  <c r="BY12" i="11"/>
  <c r="CA190" i="11"/>
  <c r="CB190" i="11"/>
  <c r="BZ190" i="11"/>
  <c r="BQ12" i="11"/>
  <c r="BP12" i="11"/>
  <c r="BH12" i="11"/>
  <c r="BA12" i="11"/>
  <c r="CC64" i="11" s="1"/>
  <c r="AZ12" i="11"/>
  <c r="CC12" i="11" s="1"/>
  <c r="CB11" i="11"/>
  <c r="CA11" i="11"/>
  <c r="BZ11" i="11"/>
  <c r="BY11" i="11"/>
  <c r="CA189" i="11"/>
  <c r="CB189" i="11"/>
  <c r="BZ189" i="11"/>
  <c r="BQ11" i="11"/>
  <c r="BP11" i="11"/>
  <c r="BH11" i="11"/>
  <c r="BA11" i="11"/>
  <c r="CC63" i="11" s="1"/>
  <c r="AZ11" i="11"/>
  <c r="CC11" i="11" s="1"/>
  <c r="CB10" i="11"/>
  <c r="CA10" i="11"/>
  <c r="BZ10" i="11"/>
  <c r="BY10" i="11"/>
  <c r="CA188" i="11"/>
  <c r="CB188" i="11"/>
  <c r="BQ10" i="11"/>
  <c r="BP10" i="11"/>
  <c r="BH10" i="11"/>
  <c r="BA10" i="11"/>
  <c r="CC62" i="11" s="1"/>
  <c r="AZ10" i="11"/>
  <c r="CC10" i="11" s="1"/>
  <c r="CX9" i="11"/>
  <c r="CB9" i="11"/>
  <c r="CA9" i="11"/>
  <c r="BZ9" i="11"/>
  <c r="BY9" i="11"/>
  <c r="CA187" i="11"/>
  <c r="CB187" i="11"/>
  <c r="BZ187" i="11"/>
  <c r="BQ9" i="11"/>
  <c r="BP9" i="11"/>
  <c r="BA9" i="11"/>
  <c r="CC61" i="11" s="1"/>
  <c r="AZ9" i="11"/>
  <c r="CC9" i="11" s="1"/>
  <c r="CS8" i="11"/>
  <c r="G61" i="7" l="1"/>
  <c r="G39" i="7"/>
  <c r="Q31" i="11"/>
  <c r="S129" i="11"/>
  <c r="S51" i="11" s="1"/>
  <c r="K124" i="11"/>
  <c r="K44" i="11" s="1"/>
  <c r="Q120" i="11"/>
  <c r="Q43" i="11" s="1"/>
  <c r="S118" i="11"/>
  <c r="I128" i="11"/>
  <c r="I45" i="11" s="1"/>
  <c r="M119" i="11"/>
  <c r="M37" i="11" s="1"/>
  <c r="Q124" i="11"/>
  <c r="Q44" i="11" s="1"/>
  <c r="M128" i="11"/>
  <c r="M45" i="11" s="1"/>
  <c r="O123" i="11"/>
  <c r="O38" i="11" s="1"/>
  <c r="I125" i="11"/>
  <c r="I50" i="11" s="1"/>
  <c r="S125" i="11"/>
  <c r="S50" i="11" s="1"/>
  <c r="O127" i="11"/>
  <c r="O39" i="11" s="1"/>
  <c r="K118" i="11"/>
  <c r="K119" i="11"/>
  <c r="K37" i="11" s="1"/>
  <c r="O119" i="11"/>
  <c r="O37" i="11" s="1"/>
  <c r="Q121" i="11"/>
  <c r="Q49" i="11" s="1"/>
  <c r="S121" i="11"/>
  <c r="S49" i="11" s="1"/>
  <c r="K121" i="11"/>
  <c r="K49" i="11" s="1"/>
  <c r="M127" i="11"/>
  <c r="M39" i="11" s="1"/>
  <c r="Q127" i="11"/>
  <c r="Q39" i="11" s="1"/>
  <c r="S123" i="11"/>
  <c r="S38" i="11" s="1"/>
  <c r="M120" i="11"/>
  <c r="M43" i="11" s="1"/>
  <c r="O31" i="11"/>
  <c r="M121" i="11"/>
  <c r="M49" i="11" s="1"/>
  <c r="O120" i="11"/>
  <c r="O43" i="11" s="1"/>
  <c r="Q123" i="11"/>
  <c r="Q38" i="11" s="1"/>
  <c r="O124" i="11"/>
  <c r="O44" i="11" s="1"/>
  <c r="O129" i="11"/>
  <c r="O51" i="11" s="1"/>
  <c r="Q122" i="11"/>
  <c r="Q32" i="11" s="1"/>
  <c r="I124" i="11"/>
  <c r="I44" i="11" s="1"/>
  <c r="M126" i="11"/>
  <c r="M33" i="11" s="1"/>
  <c r="O126" i="11"/>
  <c r="O33" i="11" s="1"/>
  <c r="O128" i="11"/>
  <c r="O45" i="11" s="1"/>
  <c r="K120" i="11"/>
  <c r="K43" i="11" s="1"/>
  <c r="S124" i="11"/>
  <c r="S44" i="11" s="1"/>
  <c r="I126" i="11"/>
  <c r="I33" i="11" s="1"/>
  <c r="I127" i="11"/>
  <c r="I39" i="11" s="1"/>
  <c r="S119" i="11"/>
  <c r="S37" i="11" s="1"/>
  <c r="Q119" i="11"/>
  <c r="Q37" i="11" s="1"/>
  <c r="I123" i="11"/>
  <c r="I38" i="11" s="1"/>
  <c r="I129" i="11"/>
  <c r="I51" i="11" s="1"/>
  <c r="K122" i="11"/>
  <c r="K32" i="11" s="1"/>
  <c r="K123" i="11"/>
  <c r="K38" i="11" s="1"/>
  <c r="Q129" i="11"/>
  <c r="Q51" i="11" s="1"/>
  <c r="K125" i="11"/>
  <c r="K50" i="11" s="1"/>
  <c r="S126" i="11"/>
  <c r="S33" i="11" s="1"/>
  <c r="S127" i="11"/>
  <c r="S39" i="11" s="1"/>
  <c r="Q128" i="11"/>
  <c r="Q45" i="11" s="1"/>
  <c r="S120" i="11"/>
  <c r="S43" i="11" s="1"/>
  <c r="M118" i="11"/>
  <c r="S122" i="11"/>
  <c r="S32" i="11" s="1"/>
  <c r="S128" i="11"/>
  <c r="S45" i="11" s="1"/>
  <c r="O121" i="11"/>
  <c r="O49" i="11" s="1"/>
  <c r="M129" i="11"/>
  <c r="M51" i="11" s="1"/>
  <c r="O125" i="11"/>
  <c r="O50" i="11" s="1"/>
  <c r="B7" i="7" l="1"/>
  <c r="C7" i="7" l="1"/>
  <c r="B121" i="7"/>
  <c r="B120" i="7"/>
  <c r="G240" i="9"/>
  <c r="F240" i="9"/>
  <c r="E240" i="9"/>
  <c r="G245" i="9"/>
  <c r="F245" i="9"/>
  <c r="E245" i="9"/>
  <c r="G242" i="9"/>
  <c r="F242" i="9"/>
  <c r="E242" i="9"/>
  <c r="G244" i="9"/>
  <c r="F244" i="9"/>
  <c r="E244" i="9"/>
  <c r="G243" i="9"/>
  <c r="F243" i="9"/>
  <c r="E243" i="9"/>
  <c r="G241" i="9"/>
  <c r="F241" i="9"/>
  <c r="E241" i="9"/>
  <c r="G239" i="9"/>
  <c r="F239" i="9"/>
  <c r="E239" i="9"/>
  <c r="G238" i="9"/>
  <c r="F238" i="9"/>
  <c r="E238" i="9"/>
  <c r="G237" i="9"/>
  <c r="F237" i="9"/>
  <c r="E237" i="9"/>
  <c r="G236" i="9"/>
  <c r="F236" i="9"/>
  <c r="E236" i="9"/>
  <c r="C181" i="2"/>
  <c r="B60" i="10"/>
  <c r="F22" i="2"/>
  <c r="B6" i="10" s="1"/>
  <c r="F23" i="2"/>
  <c r="B5" i="10" s="1"/>
  <c r="F24" i="2"/>
  <c r="B9" i="10" s="1"/>
  <c r="F25" i="2"/>
  <c r="B8" i="10" s="1"/>
  <c r="F26" i="2"/>
  <c r="B11" i="10" s="1"/>
  <c r="F27" i="2"/>
  <c r="B13" i="10" s="1"/>
  <c r="F28" i="2"/>
  <c r="B14" i="10"/>
  <c r="F29" i="2"/>
  <c r="B16" i="10" s="1"/>
  <c r="F30" i="2"/>
  <c r="B15" i="10" s="1"/>
  <c r="F31" i="2"/>
  <c r="B17" i="10" s="1"/>
  <c r="F32" i="2"/>
  <c r="B18" i="10" s="1"/>
  <c r="F33" i="2"/>
  <c r="B19" i="10" s="1"/>
  <c r="F34" i="2"/>
  <c r="B23" i="10" s="1"/>
  <c r="F35" i="2"/>
  <c r="B20" i="10" s="1"/>
  <c r="F36" i="2"/>
  <c r="B21" i="10" s="1"/>
  <c r="F37" i="2"/>
  <c r="B22" i="10" s="1"/>
  <c r="F38" i="2"/>
  <c r="B24" i="10" s="1"/>
  <c r="F39" i="2"/>
  <c r="B25" i="10" s="1"/>
  <c r="F40" i="2"/>
  <c r="B26" i="10" s="1"/>
  <c r="F41" i="2"/>
  <c r="B30" i="10" s="1"/>
  <c r="F42" i="2"/>
  <c r="B29" i="10" s="1"/>
  <c r="F43" i="2"/>
  <c r="B27" i="10" s="1"/>
  <c r="F44" i="2"/>
  <c r="B31" i="10" s="1"/>
  <c r="F45" i="2"/>
  <c r="B32" i="10" s="1"/>
  <c r="F46" i="2"/>
  <c r="B34" i="10" s="1"/>
  <c r="F47" i="2"/>
  <c r="B33" i="10" s="1"/>
  <c r="F48" i="2"/>
  <c r="B35" i="10" s="1"/>
  <c r="F49" i="2"/>
  <c r="B44" i="10" s="1"/>
  <c r="F50" i="2"/>
  <c r="B45" i="10" s="1"/>
  <c r="F51" i="2"/>
  <c r="B36" i="10" s="1"/>
  <c r="F52" i="2"/>
  <c r="B39" i="10" s="1"/>
  <c r="F53" i="2"/>
  <c r="B40" i="10" s="1"/>
  <c r="F54" i="2"/>
  <c r="B41" i="10" s="1"/>
  <c r="F55" i="2"/>
  <c r="B37" i="10" s="1"/>
  <c r="F56" i="2"/>
  <c r="B42" i="10" s="1"/>
  <c r="F57" i="2"/>
  <c r="B47" i="10" s="1"/>
  <c r="F58" i="2"/>
  <c r="B48" i="10" s="1"/>
  <c r="F59" i="2"/>
  <c r="B50" i="10" s="1"/>
  <c r="F60" i="2"/>
  <c r="B51" i="10" s="1"/>
  <c r="F61" i="2"/>
  <c r="B54" i="10" s="1"/>
  <c r="F62" i="2"/>
  <c r="B56" i="10" s="1"/>
  <c r="F63" i="2"/>
  <c r="B57" i="10" s="1"/>
  <c r="F64" i="2"/>
  <c r="B58" i="10" s="1"/>
  <c r="F65" i="2"/>
  <c r="B59" i="10"/>
  <c r="F66" i="2"/>
  <c r="B61" i="10" s="1"/>
  <c r="F67" i="2"/>
  <c r="B63" i="10" s="1"/>
  <c r="F68" i="2"/>
  <c r="B62" i="10" s="1"/>
  <c r="F69" i="2"/>
  <c r="B64" i="10" s="1"/>
  <c r="F70" i="2"/>
  <c r="B66" i="10" s="1"/>
  <c r="F71" i="2"/>
  <c r="B65" i="10" s="1"/>
  <c r="F72" i="2"/>
  <c r="B67" i="10" s="1"/>
  <c r="F73" i="2"/>
  <c r="B12" i="10"/>
  <c r="F74" i="2"/>
  <c r="B7" i="10" s="1"/>
  <c r="F75" i="2"/>
  <c r="B10" i="10" s="1"/>
  <c r="F76" i="2"/>
  <c r="B28" i="10" s="1"/>
  <c r="F77" i="2"/>
  <c r="B38" i="10" s="1"/>
  <c r="F78" i="2"/>
  <c r="B43" i="10" s="1"/>
  <c r="F79" i="2"/>
  <c r="B46" i="10" s="1"/>
  <c r="F80" i="2"/>
  <c r="B49" i="10" s="1"/>
  <c r="F81" i="2"/>
  <c r="B52" i="10" s="1"/>
  <c r="F82" i="2"/>
  <c r="B53" i="10" s="1"/>
  <c r="F83" i="2"/>
  <c r="B55" i="10" s="1"/>
  <c r="F21" i="2"/>
  <c r="B26" i="7"/>
  <c r="C26" i="7" s="1"/>
  <c r="E209" i="9"/>
  <c r="F209" i="9"/>
  <c r="G209" i="9"/>
  <c r="B25" i="7"/>
  <c r="B31" i="7" s="1"/>
  <c r="C53" i="4"/>
  <c r="D53" i="4" s="1"/>
  <c r="C52" i="4"/>
  <c r="D52" i="4"/>
  <c r="C51" i="4"/>
  <c r="D51" i="4" s="1"/>
  <c r="C50" i="4"/>
  <c r="D50" i="4"/>
  <c r="C49" i="4"/>
  <c r="D49" i="4"/>
  <c r="C48" i="4"/>
  <c r="D48" i="4"/>
  <c r="C47" i="4"/>
  <c r="D47" i="4" s="1"/>
  <c r="C46" i="4"/>
  <c r="D46" i="4"/>
  <c r="C45" i="4"/>
  <c r="D45" i="4" s="1"/>
  <c r="C44" i="4"/>
  <c r="D44" i="4"/>
  <c r="C43" i="4"/>
  <c r="D43" i="4"/>
  <c r="C42" i="4"/>
  <c r="D42" i="4"/>
  <c r="C41" i="4"/>
  <c r="D41" i="4" s="1"/>
  <c r="C40" i="4"/>
  <c r="D40" i="4"/>
  <c r="C39" i="4"/>
  <c r="D39" i="4" s="1"/>
  <c r="C38" i="4"/>
  <c r="D38" i="4"/>
  <c r="C37" i="4"/>
  <c r="D37" i="4"/>
  <c r="C36" i="4"/>
  <c r="D36" i="4"/>
  <c r="C35" i="4"/>
  <c r="D35" i="4" s="1"/>
  <c r="C34" i="4"/>
  <c r="D34" i="4" s="1"/>
  <c r="B5" i="4"/>
  <c r="B8" i="4" s="1"/>
  <c r="B43" i="7"/>
  <c r="B44" i="7" s="1"/>
  <c r="B53" i="7" s="1"/>
  <c r="B54" i="7" s="1"/>
  <c r="B46" i="7"/>
  <c r="B47" i="7" s="1"/>
  <c r="B61" i="7"/>
  <c r="B65" i="7"/>
  <c r="E11" i="9"/>
  <c r="F11" i="9"/>
  <c r="G11" i="9"/>
  <c r="E12" i="9"/>
  <c r="F12" i="9"/>
  <c r="G12" i="9"/>
  <c r="E13" i="9"/>
  <c r="F13" i="9"/>
  <c r="G13" i="9"/>
  <c r="E14" i="9"/>
  <c r="F14" i="9"/>
  <c r="G14" i="9"/>
  <c r="E15" i="9"/>
  <c r="F15" i="9"/>
  <c r="G15" i="9"/>
  <c r="E16" i="9"/>
  <c r="F16" i="9"/>
  <c r="G16" i="9"/>
  <c r="E17" i="9"/>
  <c r="F17" i="9"/>
  <c r="G17" i="9"/>
  <c r="E18" i="9"/>
  <c r="F18" i="9"/>
  <c r="G18" i="9"/>
  <c r="E19" i="9"/>
  <c r="F19" i="9"/>
  <c r="G19" i="9"/>
  <c r="E20" i="9"/>
  <c r="F20" i="9"/>
  <c r="G20" i="9"/>
  <c r="E21" i="9"/>
  <c r="F21" i="9"/>
  <c r="G21" i="9"/>
  <c r="E22" i="9"/>
  <c r="F22" i="9"/>
  <c r="G22" i="9"/>
  <c r="E23" i="9"/>
  <c r="F23" i="9"/>
  <c r="G23" i="9"/>
  <c r="E24" i="9"/>
  <c r="F24" i="9"/>
  <c r="G24" i="9"/>
  <c r="E25" i="9"/>
  <c r="F25" i="9"/>
  <c r="G25" i="9"/>
  <c r="E26" i="9"/>
  <c r="F26" i="9"/>
  <c r="G26" i="9"/>
  <c r="E27" i="9"/>
  <c r="F27" i="9"/>
  <c r="G27" i="9"/>
  <c r="E28" i="9"/>
  <c r="F28" i="9"/>
  <c r="G28" i="9"/>
  <c r="E29" i="9"/>
  <c r="F29" i="9"/>
  <c r="G29" i="9"/>
  <c r="E30" i="9"/>
  <c r="F30" i="9"/>
  <c r="G30" i="9"/>
  <c r="E31" i="9"/>
  <c r="F31" i="9"/>
  <c r="G31" i="9"/>
  <c r="E32" i="9"/>
  <c r="F32" i="9"/>
  <c r="G32" i="9"/>
  <c r="E33" i="9"/>
  <c r="F33" i="9"/>
  <c r="G33" i="9"/>
  <c r="E34" i="9"/>
  <c r="F34" i="9"/>
  <c r="G34" i="9"/>
  <c r="E35" i="9"/>
  <c r="F35" i="9"/>
  <c r="G35" i="9"/>
  <c r="E36" i="9"/>
  <c r="F36" i="9"/>
  <c r="G36" i="9"/>
  <c r="E37" i="9"/>
  <c r="F37" i="9"/>
  <c r="G37" i="9"/>
  <c r="E38" i="9"/>
  <c r="F38" i="9"/>
  <c r="G38" i="9"/>
  <c r="E39" i="9"/>
  <c r="F39" i="9"/>
  <c r="G39" i="9"/>
  <c r="E40" i="9"/>
  <c r="F40" i="9"/>
  <c r="G40" i="9"/>
  <c r="E41" i="9"/>
  <c r="F41" i="9"/>
  <c r="G41" i="9"/>
  <c r="E42" i="9"/>
  <c r="F42" i="9"/>
  <c r="G42" i="9"/>
  <c r="E43" i="9"/>
  <c r="F43" i="9"/>
  <c r="G43" i="9"/>
  <c r="E44" i="9"/>
  <c r="F44" i="9"/>
  <c r="G44" i="9"/>
  <c r="E45" i="9"/>
  <c r="F45" i="9"/>
  <c r="G45" i="9"/>
  <c r="E46" i="9"/>
  <c r="F46" i="9"/>
  <c r="G46" i="9"/>
  <c r="E47" i="9"/>
  <c r="F47" i="9"/>
  <c r="G47" i="9"/>
  <c r="E48" i="9"/>
  <c r="F48" i="9"/>
  <c r="G48" i="9"/>
  <c r="E49" i="9"/>
  <c r="F49" i="9"/>
  <c r="G49" i="9"/>
  <c r="E50" i="9"/>
  <c r="F50" i="9"/>
  <c r="G50" i="9"/>
  <c r="E51" i="9"/>
  <c r="F51" i="9"/>
  <c r="G51" i="9"/>
  <c r="E52" i="9"/>
  <c r="F52" i="9"/>
  <c r="G52" i="9"/>
  <c r="E53" i="9"/>
  <c r="F53" i="9"/>
  <c r="G53" i="9"/>
  <c r="E54" i="9"/>
  <c r="F54" i="9"/>
  <c r="G54" i="9"/>
  <c r="E55" i="9"/>
  <c r="F55" i="9"/>
  <c r="G55" i="9"/>
  <c r="E56" i="9"/>
  <c r="F56" i="9"/>
  <c r="G56" i="9"/>
  <c r="E57" i="9"/>
  <c r="F57" i="9"/>
  <c r="G57" i="9"/>
  <c r="E58" i="9"/>
  <c r="F58" i="9"/>
  <c r="G58" i="9"/>
  <c r="E59" i="9"/>
  <c r="F59" i="9"/>
  <c r="G59" i="9"/>
  <c r="E60" i="9"/>
  <c r="F60" i="9"/>
  <c r="G60" i="9"/>
  <c r="E61" i="9"/>
  <c r="F61" i="9"/>
  <c r="G61" i="9"/>
  <c r="E62" i="9"/>
  <c r="F62" i="9"/>
  <c r="G62" i="9"/>
  <c r="E63" i="9"/>
  <c r="F63" i="9"/>
  <c r="G63" i="9"/>
  <c r="E64" i="9"/>
  <c r="F64" i="9"/>
  <c r="G64" i="9"/>
  <c r="E65" i="9"/>
  <c r="F65" i="9"/>
  <c r="G65" i="9"/>
  <c r="E66" i="9"/>
  <c r="F66" i="9"/>
  <c r="G66" i="9"/>
  <c r="E67" i="9"/>
  <c r="F67" i="9"/>
  <c r="G67" i="9"/>
  <c r="E68" i="9"/>
  <c r="F68" i="9"/>
  <c r="G68" i="9"/>
  <c r="E69" i="9"/>
  <c r="F69" i="9"/>
  <c r="G69" i="9"/>
  <c r="E70" i="9"/>
  <c r="F70" i="9"/>
  <c r="G70" i="9"/>
  <c r="E71" i="9"/>
  <c r="F71" i="9"/>
  <c r="G71" i="9"/>
  <c r="E72" i="9"/>
  <c r="F72" i="9"/>
  <c r="G72" i="9"/>
  <c r="E73" i="9"/>
  <c r="F73" i="9"/>
  <c r="G73" i="9"/>
  <c r="E74" i="9"/>
  <c r="F74" i="9"/>
  <c r="G74" i="9"/>
  <c r="E75" i="9"/>
  <c r="F75" i="9"/>
  <c r="G75" i="9"/>
  <c r="E76" i="9"/>
  <c r="F76" i="9"/>
  <c r="G76" i="9"/>
  <c r="E77" i="9"/>
  <c r="F77" i="9"/>
  <c r="G77" i="9"/>
  <c r="E78" i="9"/>
  <c r="F78" i="9"/>
  <c r="G78" i="9"/>
  <c r="E79" i="9"/>
  <c r="F79" i="9"/>
  <c r="G79" i="9"/>
  <c r="E80" i="9"/>
  <c r="F80" i="9"/>
  <c r="G80" i="9"/>
  <c r="E81" i="9"/>
  <c r="F81" i="9"/>
  <c r="G81" i="9"/>
  <c r="E82" i="9"/>
  <c r="F82" i="9"/>
  <c r="G82" i="9"/>
  <c r="E83" i="9"/>
  <c r="F83" i="9"/>
  <c r="G83" i="9"/>
  <c r="E84" i="9"/>
  <c r="F84" i="9"/>
  <c r="G84" i="9"/>
  <c r="E85" i="9"/>
  <c r="F85" i="9"/>
  <c r="G85" i="9"/>
  <c r="E86" i="9"/>
  <c r="F86" i="9"/>
  <c r="G86" i="9"/>
  <c r="E87" i="9"/>
  <c r="F87" i="9"/>
  <c r="G87" i="9"/>
  <c r="E88" i="9"/>
  <c r="F88" i="9"/>
  <c r="G88" i="9"/>
  <c r="E89" i="9"/>
  <c r="F89" i="9"/>
  <c r="G89" i="9"/>
  <c r="E90" i="9"/>
  <c r="F90" i="9"/>
  <c r="G90" i="9"/>
  <c r="E91" i="9"/>
  <c r="F91" i="9"/>
  <c r="G91" i="9"/>
  <c r="E92" i="9"/>
  <c r="F92" i="9"/>
  <c r="G92" i="9"/>
  <c r="E93" i="9"/>
  <c r="F93" i="9"/>
  <c r="G93" i="9"/>
  <c r="E94" i="9"/>
  <c r="F94" i="9"/>
  <c r="G94" i="9"/>
  <c r="E95" i="9"/>
  <c r="F95" i="9"/>
  <c r="G95" i="9"/>
  <c r="E96" i="9"/>
  <c r="F96" i="9"/>
  <c r="G96" i="9"/>
  <c r="E97" i="9"/>
  <c r="F97" i="9"/>
  <c r="G97" i="9"/>
  <c r="E98" i="9"/>
  <c r="F98" i="9"/>
  <c r="G98" i="9"/>
  <c r="E99" i="9"/>
  <c r="F99" i="9"/>
  <c r="G99" i="9"/>
  <c r="E100" i="9"/>
  <c r="F100" i="9"/>
  <c r="G100" i="9"/>
  <c r="E101" i="9"/>
  <c r="F101" i="9"/>
  <c r="G101" i="9"/>
  <c r="E102" i="9"/>
  <c r="F102" i="9"/>
  <c r="G102" i="9"/>
  <c r="E103" i="9"/>
  <c r="F103" i="9"/>
  <c r="G103" i="9"/>
  <c r="E104" i="9"/>
  <c r="F104" i="9"/>
  <c r="G104" i="9"/>
  <c r="E105" i="9"/>
  <c r="F105" i="9"/>
  <c r="G105" i="9"/>
  <c r="E106" i="9"/>
  <c r="F106" i="9"/>
  <c r="G106" i="9"/>
  <c r="E107" i="9"/>
  <c r="F107" i="9"/>
  <c r="G107" i="9"/>
  <c r="E108" i="9"/>
  <c r="F108" i="9"/>
  <c r="G108" i="9"/>
  <c r="E109" i="9"/>
  <c r="F109" i="9"/>
  <c r="G109" i="9"/>
  <c r="E110" i="9"/>
  <c r="F110" i="9"/>
  <c r="G110" i="9"/>
  <c r="E111" i="9"/>
  <c r="F111" i="9"/>
  <c r="G111" i="9"/>
  <c r="E112" i="9"/>
  <c r="F112" i="9"/>
  <c r="G112" i="9"/>
  <c r="E113" i="9"/>
  <c r="F113" i="9"/>
  <c r="G113" i="9"/>
  <c r="E114" i="9"/>
  <c r="F114" i="9"/>
  <c r="G114" i="9"/>
  <c r="E115" i="9"/>
  <c r="F115" i="9"/>
  <c r="G115" i="9"/>
  <c r="E116" i="9"/>
  <c r="F116" i="9"/>
  <c r="G116" i="9"/>
  <c r="E117" i="9"/>
  <c r="F117" i="9"/>
  <c r="G117" i="9"/>
  <c r="E118" i="9"/>
  <c r="F118" i="9"/>
  <c r="G118" i="9"/>
  <c r="E119" i="9"/>
  <c r="F119" i="9"/>
  <c r="G119" i="9"/>
  <c r="E120" i="9"/>
  <c r="F120" i="9"/>
  <c r="G120" i="9"/>
  <c r="E121" i="9"/>
  <c r="F121" i="9"/>
  <c r="G121" i="9"/>
  <c r="E122" i="9"/>
  <c r="F122" i="9"/>
  <c r="G122" i="9"/>
  <c r="E123" i="9"/>
  <c r="F123" i="9"/>
  <c r="G123" i="9"/>
  <c r="E124" i="9"/>
  <c r="F124" i="9"/>
  <c r="G124" i="9"/>
  <c r="E125" i="9"/>
  <c r="F125" i="9"/>
  <c r="G125" i="9"/>
  <c r="E126" i="9"/>
  <c r="F126" i="9"/>
  <c r="G126" i="9"/>
  <c r="E127" i="9"/>
  <c r="F127" i="9"/>
  <c r="G127" i="9"/>
  <c r="E128" i="9"/>
  <c r="F128" i="9"/>
  <c r="G128" i="9"/>
  <c r="E129" i="9"/>
  <c r="F129" i="9"/>
  <c r="G129" i="9"/>
  <c r="E130" i="9"/>
  <c r="F130" i="9"/>
  <c r="G130" i="9"/>
  <c r="E131" i="9"/>
  <c r="F131" i="9"/>
  <c r="G131" i="9"/>
  <c r="E132" i="9"/>
  <c r="F132" i="9"/>
  <c r="G132" i="9"/>
  <c r="E133" i="9"/>
  <c r="F133" i="9"/>
  <c r="G133" i="9"/>
  <c r="E134" i="9"/>
  <c r="F134" i="9"/>
  <c r="G134" i="9"/>
  <c r="E135" i="9"/>
  <c r="F135" i="9"/>
  <c r="G135" i="9"/>
  <c r="E136" i="9"/>
  <c r="F136" i="9"/>
  <c r="G136" i="9"/>
  <c r="E137" i="9"/>
  <c r="F137" i="9"/>
  <c r="G137" i="9"/>
  <c r="E138" i="9"/>
  <c r="F138" i="9"/>
  <c r="G138" i="9"/>
  <c r="E139" i="9"/>
  <c r="F139" i="9"/>
  <c r="G139" i="9"/>
  <c r="E140" i="9"/>
  <c r="F140" i="9"/>
  <c r="G140" i="9"/>
  <c r="E141" i="9"/>
  <c r="F141" i="9"/>
  <c r="G141" i="9"/>
  <c r="E142" i="9"/>
  <c r="F142" i="9"/>
  <c r="G142" i="9"/>
  <c r="E143" i="9"/>
  <c r="F143" i="9"/>
  <c r="G143" i="9"/>
  <c r="E144" i="9"/>
  <c r="F144" i="9"/>
  <c r="G144" i="9"/>
  <c r="E145" i="9"/>
  <c r="F145" i="9"/>
  <c r="G145" i="9"/>
  <c r="E146" i="9"/>
  <c r="F146" i="9"/>
  <c r="G146" i="9"/>
  <c r="E147" i="9"/>
  <c r="F147" i="9"/>
  <c r="G147" i="9"/>
  <c r="E148" i="9"/>
  <c r="F148" i="9"/>
  <c r="G148" i="9"/>
  <c r="E149" i="9"/>
  <c r="F149" i="9"/>
  <c r="G149" i="9"/>
  <c r="E150" i="9"/>
  <c r="F150" i="9"/>
  <c r="G150" i="9"/>
  <c r="E151" i="9"/>
  <c r="F151" i="9"/>
  <c r="G151" i="9"/>
  <c r="E152" i="9"/>
  <c r="F152" i="9"/>
  <c r="G152" i="9"/>
  <c r="E153" i="9"/>
  <c r="F153" i="9"/>
  <c r="G153" i="9"/>
  <c r="E154" i="9"/>
  <c r="F154" i="9"/>
  <c r="G154" i="9"/>
  <c r="E155" i="9"/>
  <c r="F155" i="9"/>
  <c r="G155" i="9"/>
  <c r="E156" i="9"/>
  <c r="F156" i="9"/>
  <c r="G156" i="9"/>
  <c r="E157" i="9"/>
  <c r="F157" i="9"/>
  <c r="G157" i="9"/>
  <c r="E158" i="9"/>
  <c r="F158" i="9"/>
  <c r="G158" i="9"/>
  <c r="E159" i="9"/>
  <c r="F159" i="9"/>
  <c r="G159" i="9"/>
  <c r="E160" i="9"/>
  <c r="F160" i="9"/>
  <c r="G160" i="9"/>
  <c r="E161" i="9"/>
  <c r="F161" i="9"/>
  <c r="G161" i="9"/>
  <c r="E162" i="9"/>
  <c r="F162" i="9"/>
  <c r="G162" i="9"/>
  <c r="E163" i="9"/>
  <c r="F163" i="9"/>
  <c r="G163" i="9"/>
  <c r="E164" i="9"/>
  <c r="F164" i="9"/>
  <c r="G164" i="9"/>
  <c r="E165" i="9"/>
  <c r="F165" i="9"/>
  <c r="G165" i="9"/>
  <c r="E166" i="9"/>
  <c r="F166" i="9"/>
  <c r="G166" i="9"/>
  <c r="E167" i="9"/>
  <c r="F167" i="9"/>
  <c r="G167" i="9"/>
  <c r="E168" i="9"/>
  <c r="F168" i="9"/>
  <c r="G168" i="9"/>
  <c r="E169" i="9"/>
  <c r="F169" i="9"/>
  <c r="G169" i="9"/>
  <c r="E170" i="9"/>
  <c r="F170" i="9"/>
  <c r="G170" i="9"/>
  <c r="E171" i="9"/>
  <c r="F171" i="9"/>
  <c r="G171" i="9"/>
  <c r="E172" i="9"/>
  <c r="F172" i="9"/>
  <c r="G172" i="9"/>
  <c r="E173" i="9"/>
  <c r="F173" i="9"/>
  <c r="G173" i="9"/>
  <c r="E174" i="9"/>
  <c r="F174" i="9"/>
  <c r="G174" i="9"/>
  <c r="E175" i="9"/>
  <c r="F175" i="9"/>
  <c r="G175" i="9"/>
  <c r="E176" i="9"/>
  <c r="F176" i="9"/>
  <c r="G176" i="9"/>
  <c r="E177" i="9"/>
  <c r="F177" i="9"/>
  <c r="G177" i="9"/>
  <c r="E178" i="9"/>
  <c r="F178" i="9"/>
  <c r="G178" i="9"/>
  <c r="E179" i="9"/>
  <c r="F179" i="9"/>
  <c r="G179" i="9"/>
  <c r="E180" i="9"/>
  <c r="F180" i="9"/>
  <c r="G180" i="9"/>
  <c r="E181" i="9"/>
  <c r="F181" i="9"/>
  <c r="G181" i="9"/>
  <c r="E182" i="9"/>
  <c r="F182" i="9"/>
  <c r="G182" i="9"/>
  <c r="E183" i="9"/>
  <c r="F183" i="9"/>
  <c r="G183" i="9"/>
  <c r="E184" i="9"/>
  <c r="F184" i="9"/>
  <c r="G184" i="9"/>
  <c r="E185" i="9"/>
  <c r="F185" i="9"/>
  <c r="G185" i="9"/>
  <c r="E186" i="9"/>
  <c r="F186" i="9"/>
  <c r="G186" i="9"/>
  <c r="E187" i="9"/>
  <c r="F187" i="9"/>
  <c r="G187" i="9"/>
  <c r="E188" i="9"/>
  <c r="F188" i="9"/>
  <c r="G188" i="9"/>
  <c r="E189" i="9"/>
  <c r="F189" i="9"/>
  <c r="G189" i="9"/>
  <c r="E190" i="9"/>
  <c r="F190" i="9"/>
  <c r="G190" i="9"/>
  <c r="E191" i="9"/>
  <c r="F191" i="9"/>
  <c r="G191" i="9"/>
  <c r="E192" i="9"/>
  <c r="F192" i="9"/>
  <c r="G192" i="9"/>
  <c r="E193" i="9"/>
  <c r="F193" i="9"/>
  <c r="G193" i="9"/>
  <c r="E194" i="9"/>
  <c r="F194" i="9"/>
  <c r="G194" i="9"/>
  <c r="E195" i="9"/>
  <c r="F195" i="9"/>
  <c r="G195" i="9"/>
  <c r="E196" i="9"/>
  <c r="F196" i="9"/>
  <c r="G196" i="9"/>
  <c r="E197" i="9"/>
  <c r="F197" i="9"/>
  <c r="G197" i="9"/>
  <c r="E198" i="9"/>
  <c r="F198" i="9"/>
  <c r="G198" i="9"/>
  <c r="E199" i="9"/>
  <c r="F199" i="9"/>
  <c r="G199" i="9"/>
  <c r="E200" i="9"/>
  <c r="F200" i="9"/>
  <c r="G200" i="9"/>
  <c r="E201" i="9"/>
  <c r="F201" i="9"/>
  <c r="G201" i="9"/>
  <c r="E202" i="9"/>
  <c r="F202" i="9"/>
  <c r="G202" i="9"/>
  <c r="E203" i="9"/>
  <c r="F203" i="9"/>
  <c r="G203" i="9"/>
  <c r="E204" i="9"/>
  <c r="F204" i="9"/>
  <c r="G204" i="9"/>
  <c r="E205" i="9"/>
  <c r="F205" i="9"/>
  <c r="G205" i="9"/>
  <c r="E206" i="9"/>
  <c r="F206" i="9"/>
  <c r="G206" i="9"/>
  <c r="E207" i="9"/>
  <c r="F207" i="9"/>
  <c r="G207" i="9"/>
  <c r="E208" i="9"/>
  <c r="F208" i="9"/>
  <c r="G208" i="9"/>
  <c r="E210" i="9"/>
  <c r="F210" i="9"/>
  <c r="G210" i="9"/>
  <c r="E211" i="9"/>
  <c r="F211" i="9"/>
  <c r="G211" i="9"/>
  <c r="E212" i="9"/>
  <c r="F212" i="9"/>
  <c r="G212" i="9"/>
  <c r="E213" i="9"/>
  <c r="F213" i="9"/>
  <c r="G213" i="9"/>
  <c r="E214" i="9"/>
  <c r="F214" i="9"/>
  <c r="G214" i="9"/>
  <c r="E215" i="9"/>
  <c r="F215" i="9"/>
  <c r="G215" i="9"/>
  <c r="E216" i="9"/>
  <c r="F216" i="9"/>
  <c r="G216" i="9"/>
  <c r="E217" i="9"/>
  <c r="F217" i="9"/>
  <c r="G217" i="9"/>
  <c r="E218" i="9"/>
  <c r="F218" i="9"/>
  <c r="G218" i="9"/>
  <c r="E219" i="9"/>
  <c r="F219" i="9"/>
  <c r="G219" i="9"/>
  <c r="E220" i="9"/>
  <c r="F220" i="9"/>
  <c r="G220" i="9"/>
  <c r="E221" i="9"/>
  <c r="F221" i="9"/>
  <c r="G221" i="9"/>
  <c r="E222" i="9"/>
  <c r="F222" i="9"/>
  <c r="G222" i="9"/>
  <c r="E223" i="9"/>
  <c r="F223" i="9"/>
  <c r="G223" i="9"/>
  <c r="E224" i="9"/>
  <c r="F224" i="9"/>
  <c r="G224" i="9"/>
  <c r="E225" i="9"/>
  <c r="F225" i="9"/>
  <c r="G225" i="9"/>
  <c r="E226" i="9"/>
  <c r="F226" i="9"/>
  <c r="G226" i="9"/>
  <c r="E227" i="9"/>
  <c r="F227" i="9"/>
  <c r="G227" i="9"/>
  <c r="E228" i="9"/>
  <c r="F228" i="9"/>
  <c r="G228" i="9"/>
  <c r="E229" i="9"/>
  <c r="F229" i="9"/>
  <c r="G229" i="9"/>
  <c r="E230" i="9"/>
  <c r="F230" i="9"/>
  <c r="G230" i="9"/>
  <c r="E231" i="9"/>
  <c r="F231" i="9"/>
  <c r="G231" i="9"/>
  <c r="E232" i="9"/>
  <c r="F232" i="9"/>
  <c r="G232" i="9"/>
  <c r="E233" i="9"/>
  <c r="F233" i="9"/>
  <c r="G233" i="9"/>
  <c r="E234" i="9"/>
  <c r="F234" i="9"/>
  <c r="G234" i="9"/>
  <c r="E235" i="9"/>
  <c r="F235" i="9"/>
  <c r="G235" i="9"/>
  <c r="E8" i="9"/>
  <c r="F8" i="9"/>
  <c r="G8" i="9"/>
  <c r="E9" i="9"/>
  <c r="F9" i="9"/>
  <c r="G9" i="9"/>
  <c r="E10" i="9"/>
  <c r="F10" i="9"/>
  <c r="G10" i="9"/>
  <c r="F7" i="9"/>
  <c r="G7" i="9"/>
  <c r="E7" i="9"/>
  <c r="B6" i="7"/>
  <c r="A5" i="6"/>
  <c r="A4" i="6"/>
  <c r="G66" i="7" l="1"/>
  <c r="D138" i="7"/>
  <c r="B119" i="7"/>
  <c r="B128" i="7" s="1"/>
  <c r="B118" i="7"/>
  <c r="B127" i="7" s="1"/>
  <c r="B61" i="8"/>
  <c r="B83" i="9"/>
  <c r="B193" i="9"/>
  <c r="B114" i="9"/>
  <c r="B49" i="9"/>
  <c r="B157" i="9"/>
  <c r="C201" i="2"/>
  <c r="C171" i="2"/>
  <c r="B212" i="8"/>
  <c r="B230" i="9"/>
  <c r="B80" i="9"/>
  <c r="B229" i="9"/>
  <c r="C339" i="2"/>
  <c r="B208" i="8"/>
  <c r="B183" i="8"/>
  <c r="B151" i="9"/>
  <c r="B221" i="8"/>
  <c r="B124" i="9"/>
  <c r="C185" i="2"/>
  <c r="C336" i="2"/>
  <c r="B183" i="9"/>
  <c r="B235" i="8"/>
  <c r="C249" i="2"/>
  <c r="C250" i="2" s="1"/>
  <c r="B47" i="8"/>
  <c r="B184" i="8"/>
  <c r="B113" i="9"/>
  <c r="C174" i="2"/>
  <c r="B87" i="9"/>
  <c r="C338" i="2"/>
  <c r="B190" i="9"/>
  <c r="B123" i="8"/>
  <c r="C266" i="2"/>
  <c r="B109" i="9"/>
  <c r="C282" i="2"/>
  <c r="C277" i="2"/>
  <c r="B216" i="9"/>
  <c r="B179" i="8"/>
  <c r="C281" i="2"/>
  <c r="B92" i="8"/>
  <c r="C248" i="2"/>
  <c r="C191" i="2"/>
  <c r="B154" i="8"/>
  <c r="B223" i="9"/>
  <c r="B90" i="9"/>
  <c r="C269" i="2"/>
  <c r="B135" i="9"/>
  <c r="C173" i="2"/>
  <c r="B56" i="8"/>
  <c r="B59" i="8"/>
  <c r="B64" i="8"/>
  <c r="B94" i="8"/>
  <c r="B82" i="9"/>
  <c r="B164" i="9"/>
  <c r="C206" i="2"/>
  <c r="B67" i="9"/>
  <c r="C184" i="2"/>
  <c r="C214" i="2"/>
  <c r="B86" i="9"/>
  <c r="C263" i="2"/>
  <c r="B73" i="8"/>
  <c r="B60" i="9"/>
  <c r="B111" i="9"/>
  <c r="B64" i="9"/>
  <c r="C164" i="2"/>
  <c r="B162" i="9"/>
  <c r="B181" i="8"/>
  <c r="C193" i="2"/>
  <c r="B138" i="8"/>
  <c r="B80" i="8"/>
  <c r="C325" i="2"/>
  <c r="B237" i="8"/>
  <c r="B158" i="9"/>
  <c r="C276" i="2"/>
  <c r="B133" i="8"/>
  <c r="B169" i="8"/>
  <c r="C192" i="2"/>
  <c r="C203" i="2"/>
  <c r="C176" i="2"/>
  <c r="C162" i="2"/>
  <c r="B154" i="9"/>
  <c r="B91" i="9"/>
  <c r="B61" i="9"/>
  <c r="B125" i="8"/>
  <c r="B126" i="9"/>
  <c r="C197" i="2"/>
  <c r="C170" i="2"/>
  <c r="B110" i="8"/>
  <c r="C187" i="2"/>
  <c r="C205" i="2"/>
  <c r="B139" i="9"/>
  <c r="B52" i="8"/>
  <c r="B153" i="9"/>
  <c r="B189" i="8"/>
  <c r="B97" i="8"/>
  <c r="B225" i="9"/>
  <c r="C165" i="2"/>
  <c r="C303" i="2"/>
  <c r="B166" i="8"/>
  <c r="B62" i="8"/>
  <c r="B162" i="8"/>
  <c r="C239" i="2"/>
  <c r="B159" i="8"/>
  <c r="B91" i="8"/>
  <c r="B58" i="9"/>
  <c r="B92" i="9"/>
  <c r="B53" i="9"/>
  <c r="C321" i="2"/>
  <c r="B149" i="9"/>
  <c r="B148" i="8"/>
  <c r="B74" i="8"/>
  <c r="B222" i="8"/>
  <c r="B165" i="9"/>
  <c r="B46" i="8"/>
  <c r="B158" i="8"/>
  <c r="C194" i="2"/>
  <c r="B168" i="9"/>
  <c r="B52" i="9"/>
  <c r="B96" i="8"/>
  <c r="B134" i="9"/>
  <c r="C329" i="2"/>
  <c r="C330" i="2" s="1"/>
  <c r="C331" i="2" s="1"/>
  <c r="C332" i="2" s="1"/>
  <c r="C333" i="2" s="1"/>
  <c r="B69" i="9"/>
  <c r="B213" i="8"/>
  <c r="C238" i="2"/>
  <c r="B81" i="8"/>
  <c r="C264" i="2"/>
  <c r="B110" i="9"/>
  <c r="C182" i="2"/>
  <c r="B182" i="9"/>
  <c r="C246" i="2"/>
  <c r="B186" i="8"/>
  <c r="C195" i="2"/>
  <c r="B129" i="9"/>
  <c r="B140" i="9"/>
  <c r="B220" i="8"/>
  <c r="C270" i="2"/>
  <c r="C172" i="2"/>
  <c r="B207" i="8"/>
  <c r="C175" i="2"/>
  <c r="B85" i="9"/>
  <c r="C169" i="2"/>
  <c r="C200" i="2"/>
  <c r="B69" i="8"/>
  <c r="B121" i="8"/>
  <c r="B77" i="8"/>
  <c r="B98" i="9"/>
  <c r="C213" i="2"/>
  <c r="B159" i="9"/>
  <c r="B75" i="8"/>
  <c r="B149" i="8"/>
  <c r="B130" i="8"/>
  <c r="B146" i="8"/>
  <c r="B185" i="9"/>
  <c r="B131" i="8"/>
  <c r="B54" i="9"/>
  <c r="C334" i="2"/>
  <c r="B88" i="9"/>
  <c r="C297" i="2"/>
  <c r="B228" i="9"/>
  <c r="B137" i="8"/>
  <c r="B96" i="9"/>
  <c r="C265" i="2"/>
  <c r="B210" i="9"/>
  <c r="C199" i="2"/>
  <c r="B87" i="8"/>
  <c r="B2" i="9"/>
  <c r="C341" i="2"/>
  <c r="C342" i="2" s="1"/>
  <c r="C343" i="2" s="1"/>
  <c r="C344" i="2" s="1"/>
  <c r="C345" i="2" s="1"/>
  <c r="C346" i="2" s="1"/>
  <c r="B169" i="9"/>
  <c r="B99" i="8"/>
  <c r="C274" i="2"/>
  <c r="B78" i="9"/>
  <c r="B150" i="8"/>
  <c r="B116" i="7"/>
  <c r="B155" i="8"/>
  <c r="C261" i="2"/>
  <c r="B63" i="8"/>
  <c r="C236" i="2"/>
  <c r="B136" i="9"/>
  <c r="C237" i="2"/>
  <c r="B150" i="9"/>
  <c r="B180" i="8"/>
  <c r="C168" i="2"/>
  <c r="C253" i="2"/>
  <c r="B212" i="9"/>
  <c r="B163" i="9"/>
  <c r="B182" i="8"/>
  <c r="C166" i="2"/>
  <c r="B188" i="8"/>
  <c r="B66" i="9"/>
  <c r="B186" i="9"/>
  <c r="B213" i="9"/>
  <c r="C179" i="2"/>
  <c r="B161" i="9"/>
  <c r="B53" i="8"/>
  <c r="C267" i="2"/>
  <c r="B170" i="9"/>
  <c r="B185" i="8"/>
  <c r="C119" i="2"/>
  <c r="B136" i="8"/>
  <c r="B166" i="9"/>
  <c r="B192" i="9"/>
  <c r="B59" i="9"/>
  <c r="B99" i="9"/>
  <c r="B160" i="9"/>
  <c r="C301" i="2"/>
  <c r="B134" i="8"/>
  <c r="B49" i="8"/>
  <c r="C275" i="2"/>
  <c r="B152" i="9"/>
  <c r="B100" i="8"/>
  <c r="C186" i="2"/>
  <c r="B50" i="8"/>
  <c r="B81" i="9"/>
  <c r="B137" i="9"/>
  <c r="C240" i="2"/>
  <c r="B56" i="9"/>
  <c r="B86" i="8"/>
  <c r="B112" i="9"/>
  <c r="B82" i="8"/>
  <c r="B107" i="8"/>
  <c r="C204" i="2"/>
  <c r="B93" i="8"/>
  <c r="C225" i="2"/>
  <c r="B95" i="8"/>
  <c r="C202" i="2"/>
  <c r="C241" i="2"/>
  <c r="C242" i="2" s="1"/>
  <c r="C243" i="2" s="1"/>
  <c r="C244" i="2" s="1"/>
  <c r="B160" i="8"/>
  <c r="B210" i="8"/>
  <c r="C208" i="2"/>
  <c r="C196" i="2"/>
  <c r="C222" i="2"/>
  <c r="C221" i="2"/>
  <c r="B172" i="9"/>
  <c r="B79" i="8"/>
  <c r="C215" i="2"/>
  <c r="C216" i="2" s="1"/>
  <c r="C217" i="2" s="1"/>
  <c r="C218" i="2" s="1"/>
  <c r="C219" i="2" s="1"/>
  <c r="C220" i="2" s="1"/>
  <c r="B211" i="8"/>
  <c r="B224" i="9"/>
  <c r="B238" i="9"/>
  <c r="B90" i="8"/>
  <c r="C323" i="2"/>
  <c r="B227" i="9"/>
  <c r="B211" i="9"/>
  <c r="B103" i="9"/>
  <c r="B190" i="8"/>
  <c r="B152" i="8"/>
  <c r="B76" i="9"/>
  <c r="C280" i="2"/>
  <c r="B7" i="4"/>
  <c r="C278" i="2"/>
  <c r="C279" i="2"/>
  <c r="B223" i="8"/>
  <c r="C189" i="2"/>
  <c r="C180" i="2"/>
  <c r="B100" i="9"/>
  <c r="C295" i="2"/>
  <c r="C285" i="2"/>
  <c r="C286" i="2" s="1"/>
  <c r="C287" i="2" s="1"/>
  <c r="C288" i="2" s="1"/>
  <c r="C289" i="2" s="1"/>
  <c r="C290" i="2" s="1"/>
  <c r="C291" i="2" s="1"/>
  <c r="C292" i="2" s="1"/>
  <c r="C183" i="2"/>
  <c r="B128" i="9"/>
  <c r="C252" i="2"/>
  <c r="C268" i="2"/>
  <c r="B111" i="8"/>
  <c r="B171" i="9"/>
  <c r="B124" i="8"/>
  <c r="C190" i="2"/>
  <c r="B89" i="9"/>
  <c r="C209" i="2"/>
  <c r="C302" i="2"/>
  <c r="B51" i="9"/>
  <c r="C300" i="2"/>
  <c r="B73" i="9"/>
  <c r="B184" i="9"/>
  <c r="C284" i="2"/>
  <c r="B125" i="9"/>
  <c r="B163" i="8"/>
  <c r="B108" i="8"/>
  <c r="B165" i="8"/>
  <c r="C188" i="2"/>
  <c r="B95" i="9"/>
  <c r="C254" i="2"/>
  <c r="C255" i="2" s="1"/>
  <c r="C256" i="2" s="1"/>
  <c r="C257" i="2" s="1"/>
  <c r="C258" i="2" s="1"/>
  <c r="C259" i="2" s="1"/>
  <c r="C260" i="2" s="1"/>
  <c r="B127" i="9"/>
  <c r="C326" i="2"/>
  <c r="B181" i="9"/>
  <c r="B88" i="8"/>
  <c r="C251" i="2"/>
  <c r="C212" i="2"/>
  <c r="B139" i="8"/>
  <c r="B168" i="8"/>
  <c r="C207" i="2"/>
  <c r="B62" i="9"/>
  <c r="C210" i="2"/>
  <c r="B77" i="9"/>
  <c r="B178" i="8"/>
  <c r="B240" i="9"/>
  <c r="B157" i="8"/>
  <c r="C163" i="2"/>
  <c r="B72" i="8"/>
  <c r="C293" i="2"/>
  <c r="B85" i="8"/>
  <c r="C328" i="2"/>
  <c r="B164" i="8"/>
  <c r="B106" i="8"/>
  <c r="C283" i="2"/>
  <c r="B147" i="8"/>
  <c r="C299" i="2"/>
  <c r="C262" i="2"/>
  <c r="C327" i="2"/>
  <c r="B50" i="9"/>
  <c r="B151" i="8"/>
  <c r="B70" i="8"/>
  <c r="B167" i="8"/>
  <c r="B94" i="9"/>
  <c r="C245" i="2"/>
  <c r="C226" i="2"/>
  <c r="C227" i="2" s="1"/>
  <c r="C228" i="2" s="1"/>
  <c r="C229" i="2" s="1"/>
  <c r="C230" i="2" s="1"/>
  <c r="C231" i="2" s="1"/>
  <c r="C232" i="2" s="1"/>
  <c r="C233" i="2" s="1"/>
  <c r="C234" i="2" s="1"/>
  <c r="C235" i="2" s="1"/>
  <c r="B102" i="9"/>
  <c r="B93" i="9"/>
  <c r="C211" i="2"/>
  <c r="B214" i="9"/>
  <c r="B133" i="9"/>
  <c r="B32" i="7"/>
  <c r="H151" i="7" s="1"/>
  <c r="B65" i="8"/>
  <c r="B189" i="9"/>
  <c r="C223" i="2"/>
  <c r="B71" i="8"/>
  <c r="B97" i="9"/>
  <c r="B188" i="9"/>
  <c r="B167" i="9"/>
  <c r="C178" i="2"/>
  <c r="B155" i="9"/>
  <c r="C296" i="2"/>
  <c r="C273" i="2"/>
  <c r="B117" i="7"/>
  <c r="B109" i="8"/>
  <c r="B6" i="4"/>
  <c r="B9" i="4"/>
  <c r="B14" i="4"/>
  <c r="B15" i="4"/>
  <c r="B16" i="4"/>
  <c r="B83" i="8"/>
  <c r="B57" i="9"/>
  <c r="B141" i="9"/>
  <c r="C271" i="2"/>
  <c r="C322" i="2"/>
  <c r="B72" i="9"/>
  <c r="B156" i="9"/>
  <c r="B84" i="9"/>
  <c r="B226" i="9"/>
  <c r="B75" i="9"/>
  <c r="B68" i="9"/>
  <c r="B156" i="8"/>
  <c r="B226" i="8"/>
  <c r="B215" i="9"/>
  <c r="C305" i="2"/>
  <c r="C306" i="2" s="1"/>
  <c r="C307" i="2" s="1"/>
  <c r="C308" i="2" s="1"/>
  <c r="C309" i="2" s="1"/>
  <c r="C310" i="2" s="1"/>
  <c r="C311" i="2" s="1"/>
  <c r="C312" i="2" s="1"/>
  <c r="C313" i="2" s="1"/>
  <c r="C314" i="2" s="1"/>
  <c r="C315" i="2" s="1"/>
  <c r="C316" i="2" s="1"/>
  <c r="C317" i="2" s="1"/>
  <c r="C318" i="2" s="1"/>
  <c r="C319" i="2" s="1"/>
  <c r="C320" i="2" s="1"/>
  <c r="B55" i="9"/>
  <c r="B65" i="9"/>
  <c r="B153" i="8"/>
  <c r="C177" i="2"/>
  <c r="C247" i="2"/>
  <c r="C167" i="2"/>
  <c r="B58" i="8"/>
  <c r="C298" i="2"/>
  <c r="B63" i="9"/>
  <c r="B225" i="8"/>
  <c r="C224" i="2"/>
  <c r="B209" i="8"/>
  <c r="B224" i="8"/>
  <c r="B187" i="9"/>
  <c r="B98" i="8"/>
  <c r="B126" i="8"/>
  <c r="C198" i="2"/>
  <c r="B142" i="9"/>
  <c r="C161" i="2"/>
  <c r="B54" i="8"/>
  <c r="B122" i="8"/>
  <c r="B76" i="8"/>
  <c r="B89" i="8"/>
  <c r="B217" i="9"/>
  <c r="B161" i="8"/>
  <c r="B60" i="8"/>
  <c r="B214" i="8"/>
  <c r="B74" i="9"/>
  <c r="C340" i="2"/>
  <c r="B187" i="8"/>
  <c r="C304" i="2"/>
  <c r="B57" i="8"/>
  <c r="B84" i="8"/>
  <c r="C294" i="2"/>
  <c r="B101" i="9"/>
  <c r="B227" i="8"/>
  <c r="C335" i="2"/>
  <c r="B79" i="9"/>
  <c r="B66" i="8"/>
  <c r="C272" i="2"/>
  <c r="B48" i="8"/>
  <c r="C324" i="2"/>
  <c r="B132" i="8"/>
  <c r="C337" i="2"/>
  <c r="B191" i="9"/>
  <c r="B55" i="8"/>
  <c r="B78" i="8"/>
  <c r="B51" i="8"/>
  <c r="B48" i="7"/>
  <c r="G43" i="7" s="1"/>
  <c r="G44" i="7" s="1"/>
  <c r="B13" i="4"/>
  <c r="B49" i="7" l="1"/>
  <c r="H152" i="7" s="1"/>
  <c r="G47" i="7"/>
  <c r="C120" i="2"/>
  <c r="I13" i="1"/>
  <c r="B125" i="7"/>
  <c r="F13" i="1"/>
  <c r="B126" i="7"/>
  <c r="H134" i="7" s="1"/>
  <c r="I70" i="1" s="1"/>
  <c r="L13" i="1"/>
  <c r="O13" i="1"/>
  <c r="J28" i="7"/>
  <c r="J29" i="7" s="1"/>
  <c r="B36" i="7"/>
  <c r="B37" i="7" s="1"/>
  <c r="D136" i="7"/>
  <c r="E137" i="7"/>
  <c r="D137" i="7"/>
  <c r="F48" i="1"/>
  <c r="C121" i="2" l="1"/>
  <c r="B68" i="7"/>
  <c r="E138" i="7"/>
  <c r="E136" i="7"/>
  <c r="G134" i="7" a="1"/>
  <c r="G134" i="7" s="1"/>
  <c r="F70" i="1" s="1"/>
  <c r="L70" i="1" s="1"/>
  <c r="O70" i="1" s="1"/>
  <c r="H136" i="7"/>
  <c r="I72" i="1" s="1"/>
  <c r="H135" i="7"/>
  <c r="I71" i="1" s="1"/>
  <c r="C122" i="2" l="1"/>
  <c r="G136" i="7" a="1"/>
  <c r="G136" i="7" s="1"/>
  <c r="F72" i="1" s="1"/>
  <c r="L72" i="1" s="1"/>
  <c r="O72" i="1" s="1"/>
  <c r="G135" i="7" a="1"/>
  <c r="G135" i="7" s="1"/>
  <c r="F71" i="1" s="1"/>
  <c r="L71" i="1" s="1"/>
  <c r="O71" i="1" s="1"/>
  <c r="C123" i="2" l="1"/>
  <c r="C124" i="2" l="1"/>
  <c r="C125" i="2" l="1"/>
  <c r="C126" i="2" s="1"/>
  <c r="C127" i="2" s="1"/>
  <c r="C128" i="2" s="1"/>
  <c r="C129" i="2" s="1"/>
  <c r="C130" i="2" s="1"/>
  <c r="C131" i="2" l="1"/>
  <c r="C132" i="2" l="1"/>
  <c r="C133" i="2" l="1"/>
  <c r="C134" i="2" l="1"/>
  <c r="C135" i="2" l="1"/>
  <c r="C136" i="2" l="1"/>
  <c r="C137" i="2" l="1"/>
  <c r="C138" i="2" s="1"/>
  <c r="C139" i="2" s="1"/>
  <c r="C140" i="2" s="1"/>
  <c r="C141" i="2" s="1"/>
  <c r="C142" i="2" s="1"/>
  <c r="C143" i="2" s="1"/>
  <c r="C144" i="2" s="1"/>
  <c r="C145" i="2" s="1"/>
  <c r="C146" i="2" s="1"/>
  <c r="C147" i="2" s="1"/>
  <c r="C148" i="2" s="1"/>
  <c r="C149" i="2" s="1"/>
  <c r="C150" i="2" s="1"/>
  <c r="C151" i="2" s="1"/>
  <c r="C152" i="2" s="1"/>
  <c r="C153" i="2" s="1"/>
  <c r="C154" i="2" s="1"/>
  <c r="C155" i="2" s="1"/>
  <c r="C156" i="2" s="1"/>
  <c r="C157" i="2" s="1"/>
  <c r="C158" i="2" s="1"/>
  <c r="C159" i="2" s="1"/>
  <c r="C160" i="2" s="1"/>
  <c r="H124" i="2" s="1"/>
  <c r="H127" i="2" l="1"/>
  <c r="H119" i="2"/>
  <c r="H125" i="2"/>
  <c r="H128" i="2"/>
  <c r="H120" i="2"/>
  <c r="H121" i="2"/>
  <c r="H122" i="2"/>
  <c r="H133" i="2"/>
  <c r="H131" i="2"/>
  <c r="H126" i="2"/>
  <c r="H129" i="2"/>
  <c r="H130" i="2"/>
  <c r="H123" i="2"/>
  <c r="H132" i="2"/>
  <c r="B116" i="9"/>
  <c r="B119" i="9"/>
  <c r="B114" i="8"/>
  <c r="B120" i="8"/>
  <c r="B113" i="8"/>
  <c r="B123" i="9"/>
  <c r="B119" i="8"/>
  <c r="B115" i="8"/>
  <c r="B116" i="8"/>
  <c r="B112" i="8"/>
  <c r="B122" i="9"/>
  <c r="B117" i="9"/>
  <c r="B121" i="9"/>
  <c r="B118" i="9"/>
  <c r="B118" i="8"/>
  <c r="B117" i="8"/>
  <c r="B120" i="9"/>
  <c r="B115" i="9"/>
  <c r="S7" i="1" l="1"/>
  <c r="C2" i="8" s="1"/>
  <c r="B23" i="8" s="1"/>
  <c r="B233" i="8"/>
  <c r="B236" i="9"/>
  <c r="B242" i="8"/>
  <c r="B245" i="9"/>
  <c r="B239" i="9"/>
  <c r="B236" i="8"/>
  <c r="B202" i="9"/>
  <c r="B198" i="9"/>
  <c r="B206" i="9"/>
  <c r="B199" i="9"/>
  <c r="B191" i="8"/>
  <c r="B195" i="9"/>
  <c r="B199" i="8"/>
  <c r="B203" i="8"/>
  <c r="B196" i="9"/>
  <c r="B195" i="8"/>
  <c r="B205" i="8"/>
  <c r="B194" i="8"/>
  <c r="B200" i="8"/>
  <c r="B197" i="8"/>
  <c r="B201" i="9"/>
  <c r="B207" i="9"/>
  <c r="B194" i="9"/>
  <c r="B204" i="8"/>
  <c r="B200" i="9"/>
  <c r="B198" i="8"/>
  <c r="B205" i="9"/>
  <c r="B197" i="9"/>
  <c r="B201" i="8"/>
  <c r="B192" i="8"/>
  <c r="B203" i="9"/>
  <c r="B193" i="8"/>
  <c r="B204" i="9"/>
  <c r="B202" i="8"/>
  <c r="B102" i="8"/>
  <c r="B104" i="9"/>
  <c r="B105" i="8"/>
  <c r="B101" i="8"/>
  <c r="B105" i="9"/>
  <c r="B107" i="9"/>
  <c r="B103" i="8"/>
  <c r="B108" i="9"/>
  <c r="B106" i="9"/>
  <c r="B104" i="8"/>
  <c r="B222" i="9"/>
  <c r="B220" i="9"/>
  <c r="B216" i="8"/>
  <c r="B219" i="9"/>
  <c r="B218" i="8"/>
  <c r="B219" i="8"/>
  <c r="B221" i="9"/>
  <c r="B217" i="8"/>
  <c r="B218" i="9"/>
  <c r="B215" i="8"/>
  <c r="B45" i="8"/>
  <c r="B48" i="9"/>
  <c r="B44" i="8"/>
  <c r="B47" i="9"/>
  <c r="B241" i="8"/>
  <c r="B244" i="9"/>
  <c r="B32" i="9"/>
  <c r="B36" i="9"/>
  <c r="B34" i="9"/>
  <c r="B33" i="8"/>
  <c r="B20" i="8"/>
  <c r="B21" i="9"/>
  <c r="B22" i="9"/>
  <c r="B21" i="8"/>
  <c r="B23" i="9"/>
  <c r="B24" i="9"/>
  <c r="B19" i="8"/>
  <c r="B18" i="8"/>
  <c r="B28" i="9"/>
  <c r="B25" i="8"/>
  <c r="B24" i="8"/>
  <c r="B27" i="8"/>
  <c r="B26" i="8"/>
  <c r="B27" i="9"/>
  <c r="B29" i="9"/>
  <c r="B30" i="9"/>
  <c r="B238" i="8"/>
  <c r="B241" i="9"/>
  <c r="B240" i="8"/>
  <c r="B243" i="9"/>
  <c r="B242" i="9"/>
  <c r="B239" i="8"/>
  <c r="B43" i="8"/>
  <c r="B42" i="8"/>
  <c r="B46" i="9"/>
  <c r="B45" i="9"/>
  <c r="B243" i="8"/>
  <c r="B25" i="9" l="1"/>
  <c r="B26" i="9"/>
  <c r="B22" i="8"/>
  <c r="C2" i="9"/>
  <c r="B196" i="8"/>
  <c r="B144" i="9"/>
  <c r="B146" i="9"/>
  <c r="B141" i="8"/>
  <c r="B142" i="8"/>
  <c r="B148" i="9"/>
  <c r="B143" i="9"/>
  <c r="B145" i="8"/>
  <c r="B140" i="8"/>
  <c r="B145" i="9"/>
  <c r="B147" i="9"/>
  <c r="B143" i="8"/>
  <c r="B144" i="8"/>
  <c r="B208" i="9"/>
  <c r="B206" i="8"/>
  <c r="B176" i="8"/>
  <c r="B176" i="9"/>
  <c r="B175" i="9"/>
  <c r="B179" i="9"/>
  <c r="B173" i="9"/>
  <c r="B172" i="8"/>
  <c r="B177" i="8"/>
  <c r="B177" i="9"/>
  <c r="B180" i="9"/>
  <c r="B171" i="8"/>
  <c r="B175" i="8"/>
  <c r="B173" i="8"/>
  <c r="B174" i="8"/>
  <c r="B174" i="9"/>
  <c r="B170" i="8"/>
  <c r="B178" i="9"/>
  <c r="B32" i="8"/>
  <c r="B30" i="8"/>
  <c r="B31" i="9"/>
  <c r="B40" i="9"/>
  <c r="B39" i="9"/>
  <c r="B37" i="8"/>
  <c r="B28" i="8"/>
  <c r="B29" i="8"/>
  <c r="B36" i="8"/>
  <c r="B31" i="8"/>
  <c r="B34" i="8"/>
  <c r="B33" i="9"/>
  <c r="B35" i="9"/>
  <c r="B37" i="9"/>
  <c r="B35" i="8"/>
  <c r="B38" i="9"/>
  <c r="B209" i="9"/>
  <c r="B130" i="9"/>
  <c r="B129" i="8"/>
  <c r="B132" i="9"/>
  <c r="B131" i="9"/>
  <c r="B127" i="8"/>
  <c r="B128" i="8"/>
  <c r="B231" i="8"/>
  <c r="B233" i="9"/>
  <c r="B232" i="8"/>
  <c r="B234" i="9"/>
  <c r="B231" i="9"/>
  <c r="B228" i="8"/>
  <c r="B229" i="8"/>
  <c r="B232" i="9"/>
  <c r="B235" i="9"/>
  <c r="B230" i="8"/>
  <c r="B42" i="9"/>
  <c r="B138" i="9"/>
  <c r="B135" i="8"/>
  <c r="B43" i="9"/>
  <c r="B41" i="8"/>
  <c r="B38" i="8"/>
  <c r="B44" i="9"/>
  <c r="B41" i="9"/>
  <c r="B40" i="8"/>
  <c r="B39" i="8"/>
  <c r="B68" i="8"/>
  <c r="B71" i="9"/>
  <c r="B70" i="9"/>
  <c r="B67" i="8"/>
  <c r="B246" i="9"/>
  <c r="B237" i="9"/>
  <c r="B234" i="8"/>
  <c r="B12" i="9"/>
  <c r="B11" i="9"/>
  <c r="B7" i="9"/>
  <c r="B10" i="8"/>
  <c r="B16" i="9"/>
  <c r="B10" i="9"/>
  <c r="B14" i="9"/>
  <c r="B16" i="8"/>
  <c r="B15" i="8"/>
  <c r="B8" i="8"/>
  <c r="B4" i="8"/>
  <c r="B5" i="8"/>
  <c r="B19" i="9"/>
  <c r="B8" i="9"/>
  <c r="B6" i="8"/>
  <c r="B13" i="8"/>
  <c r="B14" i="8"/>
  <c r="B17" i="8"/>
  <c r="B13" i="9"/>
  <c r="B17" i="9"/>
  <c r="B18" i="9"/>
  <c r="B9" i="8"/>
  <c r="B7" i="8"/>
  <c r="B11" i="8"/>
  <c r="B20" i="9"/>
  <c r="E24" i="11" a="1"/>
  <c r="E24" i="11" s="1"/>
  <c r="E90" i="11" s="1"/>
  <c r="E98" i="11" s="1"/>
  <c r="E99" i="11" s="1"/>
  <c r="B9" i="9"/>
  <c r="B15" i="9"/>
  <c r="B12" i="8"/>
  <c r="E91" i="11"/>
  <c r="E100" i="11" s="1"/>
  <c r="E2" i="8" l="1"/>
  <c r="E2" i="9"/>
  <c r="F2" i="9"/>
  <c r="G2" i="9"/>
  <c r="B14" i="7" s="1"/>
  <c r="F2" i="8"/>
  <c r="G2" i="8"/>
  <c r="E101" i="11"/>
  <c r="O114" i="11" s="1"/>
  <c r="O30" i="11" s="1"/>
  <c r="O34" i="11" s="1"/>
  <c r="E102" i="11"/>
  <c r="K115" i="11" s="1"/>
  <c r="K36" i="11" s="1"/>
  <c r="E103" i="11"/>
  <c r="K116" i="11" s="1"/>
  <c r="K42" i="11" s="1"/>
  <c r="E104" i="11"/>
  <c r="S117" i="11" s="1"/>
  <c r="S48" i="11" s="1"/>
  <c r="H2" i="8" l="1"/>
  <c r="I2" i="8"/>
  <c r="Q114" i="11"/>
  <c r="Q30" i="11" s="1"/>
  <c r="Q34" i="11" s="1"/>
  <c r="S114" i="11"/>
  <c r="S30" i="11" s="1"/>
  <c r="S34" i="11" s="1"/>
  <c r="B55" i="7"/>
  <c r="M114" i="11"/>
  <c r="M30" i="11" s="1"/>
  <c r="B69" i="7"/>
  <c r="O116" i="11"/>
  <c r="O131" i="11" s="1"/>
  <c r="O46" i="11" s="1"/>
  <c r="S116" i="11"/>
  <c r="S42" i="11" s="1"/>
  <c r="S115" i="11"/>
  <c r="S130" i="11" s="1"/>
  <c r="S40" i="11" s="1"/>
  <c r="B56" i="7"/>
  <c r="G152" i="7" s="1" a="1"/>
  <c r="G152" i="7" s="1"/>
  <c r="K114" i="11"/>
  <c r="K30" i="11" s="1"/>
  <c r="Q116" i="11"/>
  <c r="Q131" i="11" s="1"/>
  <c r="Q46" i="11" s="1"/>
  <c r="Q117" i="11"/>
  <c r="Q132" i="11" s="1"/>
  <c r="Q52" i="11" s="1"/>
  <c r="M116" i="11"/>
  <c r="M42" i="11" s="1"/>
  <c r="B38" i="7"/>
  <c r="B70" i="7"/>
  <c r="G153" i="7" s="1" a="1"/>
  <c r="G153" i="7" s="1"/>
  <c r="Q115" i="11"/>
  <c r="Q36" i="11" s="1"/>
  <c r="B39" i="7"/>
  <c r="G151" i="7" s="1" a="1"/>
  <c r="G151" i="7" s="1"/>
  <c r="O117" i="11"/>
  <c r="O132" i="11" s="1"/>
  <c r="O52" i="11" s="1"/>
  <c r="S132" i="11"/>
  <c r="S52" i="11" s="1"/>
  <c r="K117" i="11"/>
  <c r="K48" i="11" s="1"/>
  <c r="M117" i="11"/>
  <c r="M48" i="11" s="1"/>
  <c r="O115" i="11"/>
  <c r="O130" i="11" s="1"/>
  <c r="O40" i="11" s="1"/>
  <c r="M115" i="11"/>
  <c r="M36" i="11" s="1"/>
  <c r="K2" i="8" l="1"/>
  <c r="B9" i="7" s="1"/>
  <c r="S131" i="11"/>
  <c r="S46" i="11" s="1"/>
  <c r="O42" i="11"/>
  <c r="S36" i="11"/>
  <c r="O36" i="11"/>
  <c r="Q42" i="11"/>
  <c r="Q130" i="11"/>
  <c r="Q40" i="11" s="1"/>
  <c r="Q48" i="11"/>
  <c r="O48" i="11"/>
  <c r="K95" i="11"/>
  <c r="M94" i="11"/>
  <c r="F25" i="1" l="1"/>
  <c r="B17" i="7"/>
  <c r="B77" i="7" s="1"/>
  <c r="E13" i="11" s="1"/>
  <c r="E92" i="11" s="1"/>
  <c r="E114" i="11" s="1"/>
  <c r="G30" i="11" s="1"/>
  <c r="G10" i="7"/>
  <c r="G11" i="7" s="1"/>
  <c r="G12" i="7" s="1"/>
  <c r="G16" i="7"/>
  <c r="G17" i="7" s="1"/>
  <c r="I76" i="7" s="1"/>
  <c r="B134" i="7" s="1"/>
  <c r="J10" i="7"/>
  <c r="I79" i="7" s="1"/>
  <c r="B135" i="7" s="1"/>
  <c r="B10" i="7"/>
  <c r="H133" i="7" s="1"/>
  <c r="I69" i="1" s="1"/>
  <c r="I92" i="11"/>
  <c r="K126" i="11"/>
  <c r="K33" i="11" s="1"/>
  <c r="K34" i="11" s="1"/>
  <c r="K129" i="11"/>
  <c r="K128" i="11"/>
  <c r="K127" i="11"/>
  <c r="M122" i="11"/>
  <c r="M32" i="11" s="1"/>
  <c r="M34" i="11" s="1"/>
  <c r="M123" i="11"/>
  <c r="M125" i="11"/>
  <c r="M124" i="11"/>
  <c r="D135" i="7" l="1"/>
  <c r="B76" i="7"/>
  <c r="I15" i="11" s="1"/>
  <c r="I93" i="11" s="1"/>
  <c r="I118" i="11" s="1"/>
  <c r="E135" i="7"/>
  <c r="B18" i="7"/>
  <c r="B19" i="7" s="1"/>
  <c r="E76" i="7"/>
  <c r="E19" i="11" s="1"/>
  <c r="E95" i="11" s="1"/>
  <c r="E127" i="11" s="1"/>
  <c r="G39" i="11" s="1"/>
  <c r="G133" i="7" a="1"/>
  <c r="G133" i="7" s="1"/>
  <c r="F69" i="1" s="1"/>
  <c r="L69" i="1" s="1"/>
  <c r="O69" i="1" s="1"/>
  <c r="G18" i="7"/>
  <c r="J11" i="7"/>
  <c r="B11" i="7"/>
  <c r="H150" i="7" s="1"/>
  <c r="H154" i="7" s="1"/>
  <c r="H137" i="7"/>
  <c r="I73" i="1" s="1"/>
  <c r="E15" i="11"/>
  <c r="E93" i="11" s="1"/>
  <c r="E118" i="11" s="1"/>
  <c r="B132" i="7"/>
  <c r="E117" i="11"/>
  <c r="G48" i="11" s="1"/>
  <c r="E115" i="11"/>
  <c r="G36" i="11" s="1"/>
  <c r="E116" i="11"/>
  <c r="G42" i="11" s="1"/>
  <c r="E17" i="11"/>
  <c r="E94" i="11" s="1"/>
  <c r="M131" i="11"/>
  <c r="M44" i="11"/>
  <c r="M50" i="11"/>
  <c r="M132" i="11"/>
  <c r="K45" i="11"/>
  <c r="K131" i="11"/>
  <c r="M38" i="11"/>
  <c r="M130" i="11"/>
  <c r="K51" i="11"/>
  <c r="K132" i="11"/>
  <c r="K39" i="11"/>
  <c r="K130" i="11"/>
  <c r="I115" i="11"/>
  <c r="I117" i="11"/>
  <c r="I114" i="11"/>
  <c r="I30" i="11" s="1"/>
  <c r="I116" i="11"/>
  <c r="I120" i="11" l="1"/>
  <c r="I43" i="11" s="1"/>
  <c r="I119" i="11"/>
  <c r="I37" i="11" s="1"/>
  <c r="I31" i="11"/>
  <c r="I34" i="11" s="1"/>
  <c r="I121" i="11"/>
  <c r="I49" i="11" s="1"/>
  <c r="B131" i="7"/>
  <c r="I63" i="11" s="1"/>
  <c r="B20" i="7"/>
  <c r="G150" i="7" s="1" a="1"/>
  <c r="G150" i="7" s="1"/>
  <c r="G154" i="7" s="1"/>
  <c r="E128" i="11"/>
  <c r="G45" i="11" s="1"/>
  <c r="E129" i="11"/>
  <c r="G51" i="11" s="1"/>
  <c r="E126" i="11"/>
  <c r="G33" i="11" s="1"/>
  <c r="B133" i="7"/>
  <c r="G63" i="11" s="1"/>
  <c r="G137" i="7"/>
  <c r="F73" i="1" s="1"/>
  <c r="L73" i="1" s="1"/>
  <c r="O73" i="1" s="1"/>
  <c r="E120" i="11"/>
  <c r="G43" i="11" s="1"/>
  <c r="E119" i="11"/>
  <c r="G37" i="11" s="1"/>
  <c r="G31" i="11"/>
  <c r="E121" i="11"/>
  <c r="G49" i="11" s="1"/>
  <c r="E124" i="11"/>
  <c r="G44" i="11" s="1"/>
  <c r="E123" i="11"/>
  <c r="G38" i="11" s="1"/>
  <c r="E122" i="11"/>
  <c r="G32" i="11" s="1"/>
  <c r="E125" i="11"/>
  <c r="G50" i="11" s="1"/>
  <c r="I48" i="11"/>
  <c r="I36" i="11"/>
  <c r="M52" i="11"/>
  <c r="M46" i="11"/>
  <c r="K40" i="11"/>
  <c r="K46" i="11"/>
  <c r="K52" i="11"/>
  <c r="I42" i="11"/>
  <c r="M40" i="11"/>
  <c r="I130" i="11" l="1"/>
  <c r="I81" i="1" s="1"/>
  <c r="C112" i="7" s="1"/>
  <c r="I132" i="11"/>
  <c r="I52" i="11" s="1"/>
  <c r="I131" i="11"/>
  <c r="H144" i="7" s="1"/>
  <c r="G34" i="11"/>
  <c r="E131" i="11"/>
  <c r="G144" i="7" s="1"/>
  <c r="E130" i="11"/>
  <c r="E133" i="11" s="1"/>
  <c r="E132" i="11"/>
  <c r="G143" i="7" s="1"/>
  <c r="I40" i="11" l="1"/>
  <c r="I79" i="1"/>
  <c r="C109" i="7" s="1"/>
  <c r="H143" i="7"/>
  <c r="H145" i="7" s="1"/>
  <c r="I46" i="11"/>
  <c r="I80" i="1"/>
  <c r="C110" i="7" s="1"/>
  <c r="G145" i="7"/>
  <c r="F80" i="1"/>
  <c r="B110" i="7" s="1"/>
  <c r="E134" i="11"/>
  <c r="Q56" i="11"/>
  <c r="S56" i="11"/>
  <c r="K56" i="11"/>
  <c r="M56" i="11"/>
  <c r="O56" i="11"/>
  <c r="I134" i="11"/>
  <c r="I56" i="11" s="1"/>
  <c r="G46" i="11"/>
  <c r="M58" i="11"/>
  <c r="F79" i="1"/>
  <c r="K136" i="11"/>
  <c r="K138" i="11" s="1"/>
  <c r="K62" i="11" s="1"/>
  <c r="F81" i="1"/>
  <c r="S136" i="11"/>
  <c r="I133" i="11"/>
  <c r="M136" i="11"/>
  <c r="E136" i="11"/>
  <c r="E138" i="11" s="1"/>
  <c r="G40" i="11"/>
  <c r="Q136" i="11"/>
  <c r="O136" i="11"/>
  <c r="G52" i="11"/>
  <c r="O58" i="11"/>
  <c r="S58" i="11"/>
  <c r="I135" i="11"/>
  <c r="I58" i="11" s="1"/>
  <c r="Q58" i="11"/>
  <c r="E135" i="11"/>
  <c r="K58" i="11"/>
  <c r="S57" i="11" l="1"/>
  <c r="I54" i="11"/>
  <c r="I55" i="11" s="1"/>
  <c r="I136" i="11"/>
  <c r="M57" i="11"/>
  <c r="I57" i="11"/>
  <c r="O57" i="11"/>
  <c r="K57" i="11"/>
  <c r="L80" i="1"/>
  <c r="O80" i="1" s="1"/>
  <c r="Q57" i="11"/>
  <c r="B112" i="7"/>
  <c r="L81" i="1"/>
  <c r="B104" i="7" s="1"/>
  <c r="B109" i="7"/>
  <c r="L79" i="1"/>
  <c r="O79" i="1" s="1"/>
  <c r="K54" i="11"/>
  <c r="K55" i="11" s="1"/>
  <c r="M59" i="11"/>
  <c r="S59" i="11"/>
  <c r="S54" i="11"/>
  <c r="S55" i="11" s="1"/>
  <c r="E137" i="11"/>
  <c r="K137" i="11"/>
  <c r="K61" i="11" s="1"/>
  <c r="Q54" i="11"/>
  <c r="Q55" i="11" s="1"/>
  <c r="M54" i="11"/>
  <c r="M55" i="11" s="1"/>
  <c r="O54" i="11"/>
  <c r="O55" i="11" s="1"/>
  <c r="K59" i="11"/>
  <c r="I59" i="11"/>
  <c r="O59" i="11"/>
  <c r="Q59" i="11"/>
  <c r="S138" i="11"/>
  <c r="S62" i="11" s="1"/>
  <c r="S137" i="11"/>
  <c r="S61" i="11" s="1"/>
  <c r="O137" i="11"/>
  <c r="O61" i="11" s="1"/>
  <c r="O138" i="11"/>
  <c r="O62" i="11" s="1"/>
  <c r="Q137" i="11"/>
  <c r="Q61" i="11" s="1"/>
  <c r="Q138" i="11"/>
  <c r="Q62" i="11" s="1"/>
  <c r="M137" i="11"/>
  <c r="M61" i="11" s="1"/>
  <c r="M138" i="11"/>
  <c r="M62" i="11" s="1"/>
  <c r="J85" i="1" l="1"/>
  <c r="B102" i="7"/>
  <c r="J87" i="1" s="1"/>
  <c r="I138" i="11"/>
  <c r="I62" i="11" s="1"/>
  <c r="I137" i="11"/>
  <c r="O81" i="1"/>
  <c r="I61" i="11" l="1"/>
  <c r="B101" i="7"/>
</calcChain>
</file>

<file path=xl/comments1.xml><?xml version="1.0" encoding="utf-8"?>
<comments xmlns="http://schemas.openxmlformats.org/spreadsheetml/2006/main" xmlns:mc="http://schemas.openxmlformats.org/markup-compatibility/2006" xmlns:xr="http://schemas.microsoft.com/office/spreadsheetml/2014/revision" mc:Ignorable="xr">
  <authors>
    <author>ICF</author>
  </authors>
  <commentList>
    <comment ref="E25" authorId="0" shapeId="0" xr:uid="{A80ED7D1-3F34-4418-BEEB-67A585F55CA2}">
      <text>
        <r>
          <rPr>
            <b/>
            <sz val="8"/>
            <color indexed="81"/>
            <rFont val="Tahoma"/>
            <family val="2"/>
          </rPr>
          <t>Heating Loads are based on a DOE2 analysis of typical houses in the region.</t>
        </r>
        <r>
          <rPr>
            <sz val="8"/>
            <color indexed="81"/>
            <rFont val="Tahoma"/>
            <family val="2"/>
          </rPr>
          <t xml:space="preserve">
</t>
        </r>
      </text>
    </comment>
    <comment ref="E27" authorId="0" shapeId="0" xr:uid="{71D94984-B701-488B-A8A6-70E197F735AA}">
      <text>
        <r>
          <rPr>
            <b/>
            <sz val="8"/>
            <color indexed="81"/>
            <rFont val="Tahoma"/>
            <family val="2"/>
          </rPr>
          <t>Adjusted Heating Seasonal Performance factors (HSPF) were derived from ASHRAE design temperatures and a DOE calculation model</t>
        </r>
        <r>
          <rPr>
            <sz val="8"/>
            <color indexed="81"/>
            <rFont val="Tahoma"/>
            <family val="2"/>
          </rPr>
          <t xml:space="preserve">
</t>
        </r>
      </text>
    </comment>
    <comment ref="E38" authorId="0" shapeId="0" xr:uid="{0BF07A62-5B83-4105-AE54-3BF0F2EA5679}">
      <text>
        <r>
          <rPr>
            <b/>
            <sz val="8"/>
            <color indexed="81"/>
            <rFont val="Tahoma"/>
            <family val="2"/>
          </rPr>
          <t>Hot Water loads are based on DOE estimates of water usage per person, ENERGY STAR heating requirements, and regional factors based on Census region.</t>
        </r>
        <r>
          <rPr>
            <sz val="8"/>
            <color indexed="81"/>
            <rFont val="Tahoma"/>
            <family val="2"/>
          </rPr>
          <t xml:space="preserve">
</t>
        </r>
      </text>
    </comment>
    <comment ref="E48" authorId="0" shapeId="0" xr:uid="{59B5BB72-9257-4179-AAD1-BE7AC8CD934B}">
      <text>
        <r>
          <rPr>
            <b/>
            <sz val="8"/>
            <color indexed="81"/>
            <rFont val="Tahoma"/>
            <family val="2"/>
          </rPr>
          <t>Dryer loads are based on DOE test procedure estimates of energy use for 8 loads per week</t>
        </r>
        <r>
          <rPr>
            <sz val="8"/>
            <color indexed="81"/>
            <rFont val="Tahoma"/>
            <family val="2"/>
          </rPr>
          <t xml:space="preserve">
</t>
        </r>
      </text>
    </comment>
    <comment ref="E59" authorId="0" shapeId="0" xr:uid="{5104A00C-C9ED-42DF-B8D7-5F6353E1F056}">
      <text>
        <r>
          <rPr>
            <b/>
            <sz val="8"/>
            <color indexed="81"/>
            <rFont val="Tahoma"/>
            <family val="2"/>
          </rPr>
          <t>Cooking loads are based on LBNL estimates of cooktop efficiency and energy demand</t>
        </r>
        <r>
          <rPr>
            <sz val="8"/>
            <color indexed="81"/>
            <rFont val="Tahoma"/>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tc={EF868A8F-D66E-4B7D-AB79-CFA2AD0932FC}</author>
  </authors>
  <commentList>
    <comment ref="C98" authorId="0" shapeId="0" xr:uid="{EF868A8F-D66E-4B7D-AB79-CFA2AD0932FC}">
      <text>
        <t>[Threaded comment]
Your version of Excel allows you to read this threaded comment; however, any edits to it will get removed if the file is opened in a newer version of Excel. Learn more: https://go.microsoft.com/fwlink/?linkid=870924
Comment:
    Now eGrid subregion or Canadian Province</t>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<sst xmlns="http://schemas.openxmlformats.org/spreadsheetml/2006/main" count="3769" uniqueCount="1159">
  <si>
    <t>Residential Energy Cost &amp; Emissions Calculator</t>
  </si>
  <si>
    <t>State/Province</t>
  </si>
  <si>
    <t>Includes eGrid 2025 update (2023 data)</t>
  </si>
  <si>
    <t>City (for U.S. states)</t>
  </si>
  <si>
    <t>Central Station Emissions Profile</t>
  </si>
  <si>
    <t>Fuel and Electric Prices</t>
  </si>
  <si>
    <t>Natural Gas Price</t>
  </si>
  <si>
    <t>Electricity Price</t>
  </si>
  <si>
    <t>Oil Price</t>
  </si>
  <si>
    <t>Propane Price</t>
  </si>
  <si>
    <t>Space Heating System</t>
  </si>
  <si>
    <t>sqft</t>
  </si>
  <si>
    <t>Energy Source for Current Heating System</t>
  </si>
  <si>
    <t>Annual Space Heating Requirements</t>
  </si>
  <si>
    <t xml:space="preserve">Type of Natural Gas Heating System To Compare </t>
  </si>
  <si>
    <t>Water Heating</t>
  </si>
  <si>
    <t>Family Size</t>
  </si>
  <si>
    <t>Type of Current Water Heating System</t>
  </si>
  <si>
    <t>Annual Water Heating Requirements</t>
  </si>
  <si>
    <t>MMBtu/yr</t>
  </si>
  <si>
    <t>Type of Natural Gas Water Heating System To Compare</t>
  </si>
  <si>
    <t>Clothes Dryer</t>
  </si>
  <si>
    <t>Type of Current Dryer</t>
  </si>
  <si>
    <t>Loads per Week (national standard is 8 loads/week)</t>
  </si>
  <si>
    <t>Annual Dryer Heating Requriements</t>
  </si>
  <si>
    <t>CEF</t>
  </si>
  <si>
    <t>Cooking</t>
  </si>
  <si>
    <t>Prepare meals on a range, cook top or oven</t>
  </si>
  <si>
    <t>No</t>
  </si>
  <si>
    <t>Type of Current System</t>
  </si>
  <si>
    <t>Results</t>
  </si>
  <si>
    <t>Current Home</t>
  </si>
  <si>
    <t>Proposed Gas Home</t>
  </si>
  <si>
    <t>Savings with Natural Gas</t>
  </si>
  <si>
    <t>$/Year</t>
  </si>
  <si>
    <t>Percentage</t>
  </si>
  <si>
    <t>Energy Spending</t>
  </si>
  <si>
    <t>Consumed at House</t>
  </si>
  <si>
    <t xml:space="preserve">Savings  </t>
  </si>
  <si>
    <t>Of current spending</t>
  </si>
  <si>
    <t>Space Heating</t>
  </si>
  <si>
    <t>Total House Appliances</t>
  </si>
  <si>
    <t>Emissions</t>
  </si>
  <si>
    <t>lbs/Year</t>
  </si>
  <si>
    <t>Emmited</t>
  </si>
  <si>
    <t>Savings</t>
  </si>
  <si>
    <t>Of current emissions</t>
  </si>
  <si>
    <t>NOx  -  lbs / Year</t>
  </si>
  <si>
    <t>SOx  -  lbs / Year</t>
  </si>
  <si>
    <r>
      <t>CO</t>
    </r>
    <r>
      <rPr>
        <b/>
        <u/>
        <vertAlign val="subscript"/>
        <sz val="10"/>
        <rFont val="Arial"/>
        <family val="2"/>
      </rPr>
      <t>2</t>
    </r>
    <r>
      <rPr>
        <b/>
        <u/>
        <sz val="10"/>
        <rFont val="Arial"/>
        <family val="2"/>
      </rPr>
      <t xml:space="preserve">  -  lbs / Year</t>
    </r>
  </si>
  <si>
    <t>Yes</t>
  </si>
  <si>
    <r>
      <t>CO</t>
    </r>
    <r>
      <rPr>
        <b/>
        <vertAlign val="subscript"/>
        <sz val="10"/>
        <rFont val="Arial"/>
        <family val="2"/>
      </rPr>
      <t>2</t>
    </r>
    <r>
      <rPr>
        <b/>
        <sz val="10"/>
        <rFont val="Arial"/>
        <family val="2"/>
      </rPr>
      <t xml:space="preserve"> Reduction</t>
    </r>
  </si>
  <si>
    <t>miles driven by a gasoline-powered passenger vehicle</t>
  </si>
  <si>
    <t xml:space="preserve">Equivalent to: </t>
  </si>
  <si>
    <r>
      <t>Acres of forest removing CO</t>
    </r>
    <r>
      <rPr>
        <vertAlign val="subscript"/>
        <sz val="10"/>
        <rFont val="Arial"/>
        <family val="2"/>
      </rPr>
      <t>2</t>
    </r>
    <r>
      <rPr>
        <sz val="10"/>
        <rFont val="Arial"/>
        <family val="2"/>
      </rPr>
      <t xml:space="preserve"> from the Air</t>
    </r>
  </si>
  <si>
    <t>Pick list lookups</t>
  </si>
  <si>
    <t>*lists below update based on fuel type</t>
  </si>
  <si>
    <t>A1</t>
  </si>
  <si>
    <t>Furnace technology</t>
  </si>
  <si>
    <t>Type of Heating System to Compare</t>
  </si>
  <si>
    <t>Dryer/Cooking Types</t>
  </si>
  <si>
    <t>Average Furnace (AFUE 80%)</t>
  </si>
  <si>
    <t>Electric</t>
  </si>
  <si>
    <t>High Efficiency Furnace (AFUE 92%)</t>
  </si>
  <si>
    <t>Oil</t>
  </si>
  <si>
    <t>Propane</t>
  </si>
  <si>
    <t>Ultra High Effic. Furnace (AFUE 97%)</t>
  </si>
  <si>
    <t>Gas</t>
  </si>
  <si>
    <t>Standard Boiler (AFUE 82%)</t>
  </si>
  <si>
    <t>Condensing Boiler (AFUE 92%)</t>
  </si>
  <si>
    <t>Space</t>
  </si>
  <si>
    <t>Wall Hung Boiler (AFUE 96%)</t>
  </si>
  <si>
    <t>Water</t>
  </si>
  <si>
    <t>Gas Heat Pump (COP 1.4)</t>
  </si>
  <si>
    <t xml:space="preserve"> </t>
  </si>
  <si>
    <t>B8</t>
  </si>
  <si>
    <t>Egrid profile</t>
  </si>
  <si>
    <t>eGRID Average All Sources 2010</t>
  </si>
  <si>
    <t>eGRID Average Fossil 2010</t>
  </si>
  <si>
    <t>Canadian Average All Sources 2011</t>
  </si>
  <si>
    <t>*not used for calculations</t>
  </si>
  <si>
    <t>B6</t>
  </si>
  <si>
    <t>State</t>
  </si>
  <si>
    <t>Census Region</t>
  </si>
  <si>
    <t>Regional Factor</t>
  </si>
  <si>
    <t>US Average</t>
  </si>
  <si>
    <t>US</t>
  </si>
  <si>
    <t>Alaska</t>
  </si>
  <si>
    <t>AK</t>
  </si>
  <si>
    <t>Pacific</t>
  </si>
  <si>
    <t>Alabama</t>
  </si>
  <si>
    <t>AL</t>
  </si>
  <si>
    <t>East South Central</t>
  </si>
  <si>
    <t>Arkansas</t>
  </si>
  <si>
    <t>AR</t>
  </si>
  <si>
    <t>West South Central</t>
  </si>
  <si>
    <t>Arizona</t>
  </si>
  <si>
    <t>AZ</t>
  </si>
  <si>
    <t>Mountain</t>
  </si>
  <si>
    <t>California</t>
  </si>
  <si>
    <t>CA</t>
  </si>
  <si>
    <t>Colorado</t>
  </si>
  <si>
    <t>CO</t>
  </si>
  <si>
    <t>Connecticut</t>
  </si>
  <si>
    <t>CT</t>
  </si>
  <si>
    <t>New England</t>
  </si>
  <si>
    <t>District of Columbia</t>
  </si>
  <si>
    <t>DC</t>
  </si>
  <si>
    <t>South Atlantic</t>
  </si>
  <si>
    <t>Delaware</t>
  </si>
  <si>
    <t>DE</t>
  </si>
  <si>
    <t>Florida</t>
  </si>
  <si>
    <t>FL</t>
  </si>
  <si>
    <t>Georgia</t>
  </si>
  <si>
    <t>GA</t>
  </si>
  <si>
    <t>Hawaii</t>
  </si>
  <si>
    <t>HI</t>
  </si>
  <si>
    <t>Iowa</t>
  </si>
  <si>
    <t>IA</t>
  </si>
  <si>
    <t>West North Central</t>
  </si>
  <si>
    <t>Idaho</t>
  </si>
  <si>
    <t>ID</t>
  </si>
  <si>
    <t>Illinois</t>
  </si>
  <si>
    <t>IL</t>
  </si>
  <si>
    <t>East North Central</t>
  </si>
  <si>
    <t>Indiana</t>
  </si>
  <si>
    <t>IN</t>
  </si>
  <si>
    <t>Kansas</t>
  </si>
  <si>
    <t>KS</t>
  </si>
  <si>
    <t>Kentucky</t>
  </si>
  <si>
    <t>KY</t>
  </si>
  <si>
    <t>Louisiana</t>
  </si>
  <si>
    <t>LA</t>
  </si>
  <si>
    <t>Massachusetts</t>
  </si>
  <si>
    <t>MA</t>
  </si>
  <si>
    <t>Maryland</t>
  </si>
  <si>
    <t>MD</t>
  </si>
  <si>
    <t>Maine</t>
  </si>
  <si>
    <t>ME</t>
  </si>
  <si>
    <t>Michigan</t>
  </si>
  <si>
    <t>MI</t>
  </si>
  <si>
    <t>Minnesota</t>
  </si>
  <si>
    <t>MN</t>
  </si>
  <si>
    <t>Missouri</t>
  </si>
  <si>
    <t>MO</t>
  </si>
  <si>
    <t>Mississippi</t>
  </si>
  <si>
    <t>MS</t>
  </si>
  <si>
    <t>Montana</t>
  </si>
  <si>
    <t>MT</t>
  </si>
  <si>
    <t>North Carolina</t>
  </si>
  <si>
    <t>NC</t>
  </si>
  <si>
    <t>North Dakota</t>
  </si>
  <si>
    <t>ND</t>
  </si>
  <si>
    <t>Nebraska</t>
  </si>
  <si>
    <t>NE</t>
  </si>
  <si>
    <t>New Hampshire</t>
  </si>
  <si>
    <t>NH</t>
  </si>
  <si>
    <t>New Jersey</t>
  </si>
  <si>
    <t>NJ</t>
  </si>
  <si>
    <t>Middle Atlantic</t>
  </si>
  <si>
    <t>New Mexico</t>
  </si>
  <si>
    <t>NM</t>
  </si>
  <si>
    <t>Nevada</t>
  </si>
  <si>
    <t>NV</t>
  </si>
  <si>
    <t>New York</t>
  </si>
  <si>
    <t>NY</t>
  </si>
  <si>
    <t>Ohio</t>
  </si>
  <si>
    <t>OH</t>
  </si>
  <si>
    <t>Oklahoma</t>
  </si>
  <si>
    <t>OK</t>
  </si>
  <si>
    <t>Oregon</t>
  </si>
  <si>
    <t>OR</t>
  </si>
  <si>
    <t>Pennsylvania</t>
  </si>
  <si>
    <t>PA</t>
  </si>
  <si>
    <t>Rhode Island</t>
  </si>
  <si>
    <t>RI</t>
  </si>
  <si>
    <t>South Carolina</t>
  </si>
  <si>
    <t>SC</t>
  </si>
  <si>
    <t>South Dakota</t>
  </si>
  <si>
    <t>SD</t>
  </si>
  <si>
    <t>Tennessee</t>
  </si>
  <si>
    <t>TN</t>
  </si>
  <si>
    <t>Texas</t>
  </si>
  <si>
    <t>TX</t>
  </si>
  <si>
    <t>Utah</t>
  </si>
  <si>
    <t>UT</t>
  </si>
  <si>
    <t>Virginia</t>
  </si>
  <si>
    <t>VA</t>
  </si>
  <si>
    <t>Vermont</t>
  </si>
  <si>
    <t>VT</t>
  </si>
  <si>
    <t>Washington</t>
  </si>
  <si>
    <t>WA</t>
  </si>
  <si>
    <t>Wisconsin</t>
  </si>
  <si>
    <t>WI</t>
  </si>
  <si>
    <t>West Virginia</t>
  </si>
  <si>
    <t>WV</t>
  </si>
  <si>
    <t>Wyoming</t>
  </si>
  <si>
    <t>WY</t>
  </si>
  <si>
    <t>Canadian Average</t>
  </si>
  <si>
    <t>Canada Avg.</t>
  </si>
  <si>
    <t>Alberta</t>
  </si>
  <si>
    <t>AB</t>
  </si>
  <si>
    <t>British Columbia</t>
  </si>
  <si>
    <t>BC</t>
  </si>
  <si>
    <t>Manitoba</t>
  </si>
  <si>
    <t>MB</t>
  </si>
  <si>
    <t>New Brunswick</t>
  </si>
  <si>
    <t>NB</t>
  </si>
  <si>
    <t>Newfoundland</t>
  </si>
  <si>
    <t>NF</t>
  </si>
  <si>
    <t>Nova Scotia</t>
  </si>
  <si>
    <t>NS</t>
  </si>
  <si>
    <t>Ontario</t>
  </si>
  <si>
    <t>ON</t>
  </si>
  <si>
    <t>Prince Edward Island</t>
  </si>
  <si>
    <t>PE</t>
  </si>
  <si>
    <t>Quebec</t>
  </si>
  <si>
    <t>QB</t>
  </si>
  <si>
    <t>Saskatchewan</t>
  </si>
  <si>
    <t>SK</t>
  </si>
  <si>
    <t>H3</t>
  </si>
  <si>
    <t>What is the Efficiency of the Electric Heating System that is Being Displaced?</t>
  </si>
  <si>
    <t>What is the Efficiency of the Oil Heating System that is Being Displaced?</t>
  </si>
  <si>
    <t>What is the Efficiency of the Propane Heating System that is Being Displaced?</t>
  </si>
  <si>
    <t>Electric Furnace/Strip Heat - 99% AFUE</t>
  </si>
  <si>
    <t>Furnace ,non-weatherized (78% AFUE)</t>
  </si>
  <si>
    <t>Standard Effic. Heat Pump - 7.5 HSPF2</t>
  </si>
  <si>
    <t>http://www.rheem.com/products/heating_and_cooling/heat_pumps/</t>
  </si>
  <si>
    <t>Avg furnace, after 5/1/13 (83% AFUE)</t>
  </si>
  <si>
    <t>Energy Star Heat Pump - 7.8 HSPF2</t>
  </si>
  <si>
    <t>HE Furnace (85% AFUE)</t>
  </si>
  <si>
    <t>High Efficiency Heat Pump - 9 HSPF2</t>
  </si>
  <si>
    <t>http://www.horizonservicesinc.com/reference/tips-articles/ratings-explained</t>
  </si>
  <si>
    <t>http://www.lennox.com/products/heat-pumps/XP13/</t>
  </si>
  <si>
    <t>http://www.lennox.com/products/heat-pumps/XP25/</t>
  </si>
  <si>
    <t xml:space="preserve">Standard boiler  (84% AFUE) </t>
  </si>
  <si>
    <t>Condensing boiler(92.8% AFUE)</t>
  </si>
  <si>
    <t>C1</t>
  </si>
  <si>
    <t>Natural Gas Water Heater Energy Factor</t>
  </si>
  <si>
    <t>UEF</t>
  </si>
  <si>
    <t>Standard Tank: UEF = .58</t>
  </si>
  <si>
    <t>High Performing Tank: UEF = 0.68</t>
  </si>
  <si>
    <t>https://www.aosmithatlowes.com/products/water-heaters/gas-water-heaters/g12-cadt4040nv/</t>
  </si>
  <si>
    <t>Oil Water Heater Energy Factor</t>
  </si>
  <si>
    <t>Propane Water Heater Energy Factor</t>
  </si>
  <si>
    <t>Power Vent Tank: UEF = .70</t>
  </si>
  <si>
    <t>https://www.aosmithatlowes.com/products/water-heaters/gas-water-heaters/g6-pvt4050pv/</t>
  </si>
  <si>
    <t>Standard Tank: UEF = .54</t>
  </si>
  <si>
    <t>Direct Vent: UEF = 0.60</t>
  </si>
  <si>
    <t>https://www.aosmithatlowes.com/products/water-heaters/gas-water-heaters/g6-dvs4038nvl/</t>
  </si>
  <si>
    <t>High Efficiency Tank = .64</t>
  </si>
  <si>
    <t>Condensing Tank: UEF = 0.9</t>
  </si>
  <si>
    <t>https://www.aosmithatlowes.com/products/water-heaters/gas-water-heaters/gc9-ps4050nv/</t>
  </si>
  <si>
    <t>Tankless: UEF = 0.81</t>
  </si>
  <si>
    <t>https://www.aosmithatlowes.com/products/water-heaters/gas-tankless/gt15-510c-i/</t>
  </si>
  <si>
    <t>Condensing Tankless: UEF = 0.95</t>
  </si>
  <si>
    <t>https://www.aosmithatlowes.com/products/water-heaters/gas-tankless/gt15thr-199x3/</t>
  </si>
  <si>
    <t>Gas Heat Pump: COP = 1.4</t>
  </si>
  <si>
    <t>C2</t>
  </si>
  <si>
    <t>Electric Water Heater Enegy Factor</t>
  </si>
  <si>
    <t>Standard: UEF = 0.92</t>
  </si>
  <si>
    <t>https://www.aosmithatlowes.com/products/water-heaters/electric-water-heaters/e6-40r38d-ttp/</t>
  </si>
  <si>
    <t>High-Performing: UEF = 0.93</t>
  </si>
  <si>
    <t>https://www.aosmithatlowes.com/products/water-heaters/electric-water-heaters/eea12-40r55dvf/</t>
  </si>
  <si>
    <t>Whole Home Electric Tankless:UE = .91</t>
  </si>
  <si>
    <t>https://www.aosmithatlowes.com/products/water-heaters/electric-tankless/r4mr-320e/</t>
  </si>
  <si>
    <t>Elec. Heat Pump Water Heater:UEF=3.0</t>
  </si>
  <si>
    <t>https://www.aosmithatlowes.com/products/water-heaters/electric-water-heaters/hpv10-80h01dv/</t>
  </si>
  <si>
    <t>C3</t>
  </si>
  <si>
    <t>Natural Gas Dryer Energy Factor</t>
  </si>
  <si>
    <t>Standard Dryer (7lb load): CEF = 3.3</t>
  </si>
  <si>
    <t>C4</t>
  </si>
  <si>
    <t>Electric Dryer Energy Factor</t>
  </si>
  <si>
    <t>Standard Dryer (7lb load): CEF = 3.73</t>
  </si>
  <si>
    <t>Use default NG rates</t>
  </si>
  <si>
    <t>Use default electric rates</t>
  </si>
  <si>
    <t>Use default oil rates</t>
  </si>
  <si>
    <t>Use default propane rates</t>
  </si>
  <si>
    <t>Enter my own NG rates</t>
  </si>
  <si>
    <t>Enter my own electric rates</t>
  </si>
  <si>
    <t>Enter my own oil rates</t>
  </si>
  <si>
    <t>Enter my own propane rates</t>
  </si>
  <si>
    <t>City</t>
  </si>
  <si>
    <t>Total Heating Load MMBtu</t>
  </si>
  <si>
    <t>ASHRAE Design Temp</t>
  </si>
  <si>
    <t>eGRID Subregion</t>
  </si>
  <si>
    <t>Anchorage</t>
  </si>
  <si>
    <t>AKGD</t>
  </si>
  <si>
    <t>ASCC Alaska Grid</t>
  </si>
  <si>
    <t>Annette</t>
  </si>
  <si>
    <t>AKMS</t>
  </si>
  <si>
    <t>ASCC Miscellaneous</t>
  </si>
  <si>
    <t>Bethel</t>
  </si>
  <si>
    <t>Big Delta</t>
  </si>
  <si>
    <t>Cold Bay</t>
  </si>
  <si>
    <t>Fairbanks</t>
  </si>
  <si>
    <t>Gulkana</t>
  </si>
  <si>
    <t>King Salmon</t>
  </si>
  <si>
    <t>Kodiak</t>
  </si>
  <si>
    <t>McGrath</t>
  </si>
  <si>
    <t>Nome</t>
  </si>
  <si>
    <t>St Paul Island</t>
  </si>
  <si>
    <t>Talkeetna</t>
  </si>
  <si>
    <t>Yakutat</t>
  </si>
  <si>
    <t>Birmingham</t>
  </si>
  <si>
    <t>SRSO</t>
  </si>
  <si>
    <t>SERC South</t>
  </si>
  <si>
    <t>Huntsville</t>
  </si>
  <si>
    <t>SRTV</t>
  </si>
  <si>
    <t>SERC Tennessee Valley</t>
  </si>
  <si>
    <t>Mobile</t>
  </si>
  <si>
    <t>Montgomery</t>
  </si>
  <si>
    <t>Fort Smith</t>
  </si>
  <si>
    <t>SRMV</t>
  </si>
  <si>
    <t>SERC Mississippi Valley</t>
  </si>
  <si>
    <t>Little Rock</t>
  </si>
  <si>
    <t>Flagstaff</t>
  </si>
  <si>
    <t>AZNM</t>
  </si>
  <si>
    <t>WECC Southwest</t>
  </si>
  <si>
    <t>Phoenix</t>
  </si>
  <si>
    <t>Prescott</t>
  </si>
  <si>
    <t>Tucson</t>
  </si>
  <si>
    <t>Arcata</t>
  </si>
  <si>
    <t>CAMX</t>
  </si>
  <si>
    <t>WECC California</t>
  </si>
  <si>
    <t>Bakersfield</t>
  </si>
  <si>
    <t>Daggett</t>
  </si>
  <si>
    <t>Fresno</t>
  </si>
  <si>
    <t>Long Beach</t>
  </si>
  <si>
    <t>Los Angeles</t>
  </si>
  <si>
    <t>Sacramento</t>
  </si>
  <si>
    <t>San Diego</t>
  </si>
  <si>
    <t>San Francisco</t>
  </si>
  <si>
    <t>Santa Maria</t>
  </si>
  <si>
    <t>Alamosa</t>
  </si>
  <si>
    <t>RMPA</t>
  </si>
  <si>
    <t>WECC Rockies</t>
  </si>
  <si>
    <t>Co. Springs</t>
  </si>
  <si>
    <t>Eagle</t>
  </si>
  <si>
    <t>Pueblo</t>
  </si>
  <si>
    <t>Bridgeport</t>
  </si>
  <si>
    <t>NEWE</t>
  </si>
  <si>
    <t>NPCC New England</t>
  </si>
  <si>
    <t>Hartford</t>
  </si>
  <si>
    <t>RFCE</t>
  </si>
  <si>
    <t>RFC East</t>
  </si>
  <si>
    <t>Wilmington</t>
  </si>
  <si>
    <t>Daytona Beach</t>
  </si>
  <si>
    <t>FRCC</t>
  </si>
  <si>
    <t>FRCC All</t>
  </si>
  <si>
    <t xml:space="preserve">Jacksonville </t>
  </si>
  <si>
    <t>Key West</t>
  </si>
  <si>
    <t>Miami</t>
  </si>
  <si>
    <t>Tallahassee</t>
  </si>
  <si>
    <t>Tampa</t>
  </si>
  <si>
    <t>W. Palm Beach</t>
  </si>
  <si>
    <t>Athens</t>
  </si>
  <si>
    <t>Atlanta</t>
  </si>
  <si>
    <t>Augusta</t>
  </si>
  <si>
    <t>Columbus</t>
  </si>
  <si>
    <t>Macon</t>
  </si>
  <si>
    <t>Savannah</t>
  </si>
  <si>
    <t>Hilo</t>
  </si>
  <si>
    <t>HIMS</t>
  </si>
  <si>
    <t>HICC Miscellaneous</t>
  </si>
  <si>
    <t>Honolulu</t>
  </si>
  <si>
    <t>HIOA</t>
  </si>
  <si>
    <t>HICC Oahu</t>
  </si>
  <si>
    <t>Kahului</t>
  </si>
  <si>
    <t>Lihue</t>
  </si>
  <si>
    <t>Des Moines</t>
  </si>
  <si>
    <t>MROW</t>
  </si>
  <si>
    <t>MRO West</t>
  </si>
  <si>
    <t>Mason City</t>
  </si>
  <si>
    <t>Sioux City</t>
  </si>
  <si>
    <t>Waterloo</t>
  </si>
  <si>
    <t>Boise</t>
  </si>
  <si>
    <t>NWPP</t>
  </si>
  <si>
    <t>WECC Northwest</t>
  </si>
  <si>
    <t>Pocatello</t>
  </si>
  <si>
    <t>Chicago</t>
  </si>
  <si>
    <t>RFCW</t>
  </si>
  <si>
    <t>RFC West</t>
  </si>
  <si>
    <t>Moline</t>
  </si>
  <si>
    <t>Peoria</t>
  </si>
  <si>
    <t>SRMW</t>
  </si>
  <si>
    <t>SERC Midwest</t>
  </si>
  <si>
    <t>Rockford</t>
  </si>
  <si>
    <t>Springfield</t>
  </si>
  <si>
    <t>Evansville</t>
  </si>
  <si>
    <t>Fort Wayne</t>
  </si>
  <si>
    <t xml:space="preserve">Indianapolis </t>
  </si>
  <si>
    <t>Dodge City</t>
  </si>
  <si>
    <t>SPNO</t>
  </si>
  <si>
    <t>SPP North</t>
  </si>
  <si>
    <t>Goodland</t>
  </si>
  <si>
    <t>Topeka</t>
  </si>
  <si>
    <t>Wichita</t>
  </si>
  <si>
    <t>Covington</t>
  </si>
  <si>
    <t>Lexington</t>
  </si>
  <si>
    <t>Louisville</t>
  </si>
  <si>
    <t>Baton Rouge</t>
  </si>
  <si>
    <t xml:space="preserve">Lake Charles </t>
  </si>
  <si>
    <t>New Orleans</t>
  </si>
  <si>
    <t>Shreveport</t>
  </si>
  <si>
    <t>SPSO</t>
  </si>
  <si>
    <t>SPP South</t>
  </si>
  <si>
    <t>Boston</t>
  </si>
  <si>
    <t>Worcester</t>
  </si>
  <si>
    <t>Baltimore</t>
  </si>
  <si>
    <t>Caribou</t>
  </si>
  <si>
    <t>Portland</t>
  </si>
  <si>
    <t>Alpena</t>
  </si>
  <si>
    <t>RFCM</t>
  </si>
  <si>
    <t>RFC Michigan</t>
  </si>
  <si>
    <t>Detroit</t>
  </si>
  <si>
    <t>Flint</t>
  </si>
  <si>
    <t xml:space="preserve">Grand Rapids </t>
  </si>
  <si>
    <t>Lansing</t>
  </si>
  <si>
    <t>Muskegon</t>
  </si>
  <si>
    <t>Sault St Marie</t>
  </si>
  <si>
    <t>Traverse City</t>
  </si>
  <si>
    <t>Duluth</t>
  </si>
  <si>
    <t>Int. Falls</t>
  </si>
  <si>
    <t>Minneapolis</t>
  </si>
  <si>
    <t>Rochester</t>
  </si>
  <si>
    <t>Saint Cloud</t>
  </si>
  <si>
    <t>Columbia</t>
  </si>
  <si>
    <t>Kansas City</t>
  </si>
  <si>
    <t>St. Louis</t>
  </si>
  <si>
    <t>Jackson</t>
  </si>
  <si>
    <t>Meridian</t>
  </si>
  <si>
    <t>Billings</t>
  </si>
  <si>
    <t>Cut Bank</t>
  </si>
  <si>
    <t>Glasgow</t>
  </si>
  <si>
    <t>Great Falls</t>
  </si>
  <si>
    <t>Helena</t>
  </si>
  <si>
    <t>Kalispell</t>
  </si>
  <si>
    <t>Lewistown</t>
  </si>
  <si>
    <t>Miles City</t>
  </si>
  <si>
    <t>Missoula</t>
  </si>
  <si>
    <t>Asheville</t>
  </si>
  <si>
    <t>SRVC</t>
  </si>
  <si>
    <t>SERC Virginia/Carolina</t>
  </si>
  <si>
    <t>Cape Hatteras</t>
  </si>
  <si>
    <t>Charlotte</t>
  </si>
  <si>
    <t>Greensboro</t>
  </si>
  <si>
    <t>Raleigh</t>
  </si>
  <si>
    <t>Bismarck</t>
  </si>
  <si>
    <t>Fargo</t>
  </si>
  <si>
    <t>Minot</t>
  </si>
  <si>
    <t>Grand Island</t>
  </si>
  <si>
    <t>Norfolk</t>
  </si>
  <si>
    <t>North Platte</t>
  </si>
  <si>
    <t>Omaha</t>
  </si>
  <si>
    <t>Scottsbluff</t>
  </si>
  <si>
    <t>Concord</t>
  </si>
  <si>
    <t>Atlantic City</t>
  </si>
  <si>
    <t>Newark</t>
  </si>
  <si>
    <t>Albuquerque</t>
  </si>
  <si>
    <t>Tucumcari</t>
  </si>
  <si>
    <t>Elko</t>
  </si>
  <si>
    <t>Ely</t>
  </si>
  <si>
    <t>Las Vegas</t>
  </si>
  <si>
    <t>Reno</t>
  </si>
  <si>
    <t>Tonopah</t>
  </si>
  <si>
    <t>Winnemucca</t>
  </si>
  <si>
    <t>Albany</t>
  </si>
  <si>
    <t>NYUP</t>
  </si>
  <si>
    <t>NPCC Upstate NY</t>
  </si>
  <si>
    <t>Binghamton</t>
  </si>
  <si>
    <t>Buffalo</t>
  </si>
  <si>
    <t>Massena</t>
  </si>
  <si>
    <t>New York City</t>
  </si>
  <si>
    <t>NYCW</t>
  </si>
  <si>
    <t>NPCC NYC/Westchester</t>
  </si>
  <si>
    <t>Syracuse</t>
  </si>
  <si>
    <t>Akron</t>
  </si>
  <si>
    <t>Cleveland</t>
  </si>
  <si>
    <t>Dayton</t>
  </si>
  <si>
    <t>Mansfield</t>
  </si>
  <si>
    <t>Toledo</t>
  </si>
  <si>
    <t>Youngstown</t>
  </si>
  <si>
    <t>Oklahoma City</t>
  </si>
  <si>
    <t>Tulsa</t>
  </si>
  <si>
    <t>Astoria</t>
  </si>
  <si>
    <t>Eugene</t>
  </si>
  <si>
    <t>Medford</t>
  </si>
  <si>
    <t>North Bend</t>
  </si>
  <si>
    <t>Pendleton</t>
  </si>
  <si>
    <t>Redmond</t>
  </si>
  <si>
    <t>Salem</t>
  </si>
  <si>
    <t>Allentown</t>
  </si>
  <si>
    <t>Bradford</t>
  </si>
  <si>
    <t>Erie</t>
  </si>
  <si>
    <t>Harrisburg</t>
  </si>
  <si>
    <t xml:space="preserve">Philadelphia </t>
  </si>
  <si>
    <t>Pittsburgh</t>
  </si>
  <si>
    <t xml:space="preserve">Wilkes-Barre </t>
  </si>
  <si>
    <t xml:space="preserve">Williamsport </t>
  </si>
  <si>
    <t>Providence</t>
  </si>
  <si>
    <t>Charleston</t>
  </si>
  <si>
    <t>Greenville</t>
  </si>
  <si>
    <t>Huron</t>
  </si>
  <si>
    <t>Pierre</t>
  </si>
  <si>
    <t>Rapid City</t>
  </si>
  <si>
    <t>Sioux Falls</t>
  </si>
  <si>
    <t>Bristol</t>
  </si>
  <si>
    <t>Chattanooga</t>
  </si>
  <si>
    <t>Knoxville</t>
  </si>
  <si>
    <t>Memphis</t>
  </si>
  <si>
    <t>Nashville</t>
  </si>
  <si>
    <t>Abilene</t>
  </si>
  <si>
    <t>ERCT</t>
  </si>
  <si>
    <t>ERCOT All</t>
  </si>
  <si>
    <t>Amarillo</t>
  </si>
  <si>
    <t>Austin</t>
  </si>
  <si>
    <t>Brownsville</t>
  </si>
  <si>
    <t>Corpus Christi</t>
  </si>
  <si>
    <t>El Paso</t>
  </si>
  <si>
    <t>Fort Worth</t>
  </si>
  <si>
    <t>Houston</t>
  </si>
  <si>
    <t>Lubbock</t>
  </si>
  <si>
    <t>Lufkin</t>
  </si>
  <si>
    <t>Midland</t>
  </si>
  <si>
    <t>San Angelo</t>
  </si>
  <si>
    <t>Victoria</t>
  </si>
  <si>
    <t>Waco</t>
  </si>
  <si>
    <t>Wichita Falls</t>
  </si>
  <si>
    <t>Cedar City</t>
  </si>
  <si>
    <t>Salt Lake City</t>
  </si>
  <si>
    <t>Lynchburg</t>
  </si>
  <si>
    <t>Richmond</t>
  </si>
  <si>
    <t>Roanoke</t>
  </si>
  <si>
    <t>Sterling</t>
  </si>
  <si>
    <t>Burlington</t>
  </si>
  <si>
    <t>Olympia</t>
  </si>
  <si>
    <t>Quillayute</t>
  </si>
  <si>
    <t>Seattle</t>
  </si>
  <si>
    <t>Spokane</t>
  </si>
  <si>
    <t>Yakima</t>
  </si>
  <si>
    <t>Eau Claire</t>
  </si>
  <si>
    <t>Green Bay</t>
  </si>
  <si>
    <t>MROE</t>
  </si>
  <si>
    <t>MRO East</t>
  </si>
  <si>
    <t>La Crosse</t>
  </si>
  <si>
    <t>Madison</t>
  </si>
  <si>
    <t>Milwaukee</t>
  </si>
  <si>
    <t>Elkins</t>
  </si>
  <si>
    <t>Huntington</t>
  </si>
  <si>
    <t>Casper</t>
  </si>
  <si>
    <t>Cheyenne</t>
  </si>
  <si>
    <t>Lander</t>
  </si>
  <si>
    <t xml:space="preserve">Rock Springs </t>
  </si>
  <si>
    <t>Sheridan</t>
  </si>
  <si>
    <t>Home Size (sqft)</t>
  </si>
  <si>
    <t>I will enter my own rate</t>
  </si>
  <si>
    <t>Use default average state/province rate</t>
  </si>
  <si>
    <t>Heat Load</t>
  </si>
  <si>
    <t>2,000 sqft</t>
  </si>
  <si>
    <t>3,000 sqft</t>
  </si>
  <si>
    <t>4,000 sqft</t>
  </si>
  <si>
    <t>slope</t>
  </si>
  <si>
    <t>intercept</t>
  </si>
  <si>
    <t>Selected sqft</t>
  </si>
  <si>
    <t>Active</t>
  </si>
  <si>
    <t>Total Heating Load MMBtu (2000 sqft)</t>
  </si>
  <si>
    <t>Total Heating Load MMBtu (3000 sqft)</t>
  </si>
  <si>
    <t>Total Heating Load MMBtu (4000 sqft)</t>
  </si>
  <si>
    <t>Billings, MT</t>
  </si>
  <si>
    <t>Seattle, WA</t>
  </si>
  <si>
    <t>Green Bay, WI</t>
  </si>
  <si>
    <t>Portland, ME</t>
  </si>
  <si>
    <t>Anchorage, AK</t>
  </si>
  <si>
    <t>Lansing, MI</t>
  </si>
  <si>
    <t>Fargo, ND</t>
  </si>
  <si>
    <t>HSPF</t>
  </si>
  <si>
    <t>7.5 HSPF2</t>
  </si>
  <si>
    <t>7.8 HSPF2</t>
  </si>
  <si>
    <t>9 HSPF2</t>
  </si>
  <si>
    <t>*values in row 6 are calculated HSPF based on HSPF2 values in row 1</t>
  </si>
  <si>
    <t xml:space="preserve">  Adjusted HSPF when</t>
  </si>
  <si>
    <t xml:space="preserve">      rated HSPF is:</t>
  </si>
  <si>
    <t>HSPF2</t>
  </si>
  <si>
    <t>Appliance Technologies</t>
  </si>
  <si>
    <t>Furnace</t>
  </si>
  <si>
    <t>Selected</t>
  </si>
  <si>
    <t>Technology</t>
  </si>
  <si>
    <t>Average Furnace</t>
  </si>
  <si>
    <t>High Efficiency Furnace</t>
  </si>
  <si>
    <t>Condensing Furnace</t>
  </si>
  <si>
    <t>Standard Boiler</t>
  </si>
  <si>
    <t>Condensing Boiler</t>
  </si>
  <si>
    <t>Capacity (RT)</t>
  </si>
  <si>
    <t>CapLow (RT)</t>
  </si>
  <si>
    <t>CapHigh (RT)</t>
  </si>
  <si>
    <t>Fuel</t>
  </si>
  <si>
    <t>Natural Gas</t>
  </si>
  <si>
    <t>AFUE</t>
  </si>
  <si>
    <t>NOx lb/MMBtu</t>
  </si>
  <si>
    <t>SO2 lb/MMBtu</t>
  </si>
  <si>
    <t>CO2 lb/MMBtu</t>
  </si>
  <si>
    <t>Natural Gas Cooktop Range</t>
  </si>
  <si>
    <t>Efficiency</t>
  </si>
  <si>
    <t>Electric Cooktop Range</t>
  </si>
  <si>
    <t>*not being used</t>
  </si>
  <si>
    <t>Number in Household</t>
  </si>
  <si>
    <t>Hot Water Demand - Gal/day</t>
  </si>
  <si>
    <t>Hot Water Demand - Btu/day</t>
  </si>
  <si>
    <t>Hot Water Demand - MMBtu/year</t>
  </si>
  <si>
    <t>Factors</t>
  </si>
  <si>
    <t>General Emission Factors</t>
  </si>
  <si>
    <t>ratio of carbon to CO2</t>
  </si>
  <si>
    <t>ratio of tonnes to tons</t>
  </si>
  <si>
    <t>metric tons of Carbon per car</t>
  </si>
  <si>
    <t>metric tons CO2e/mile</t>
  </si>
  <si>
    <t>metric tons of Carbon per acre of forest</t>
  </si>
  <si>
    <t>pounds per ton</t>
  </si>
  <si>
    <t>ratio of cubic feet to cubic meters</t>
  </si>
  <si>
    <t>lb/cf heat content of natural gas</t>
  </si>
  <si>
    <t>Btu/cf of natural gas</t>
  </si>
  <si>
    <t>sulfur content of natural gas</t>
  </si>
  <si>
    <t>lb/MMBtu CO2 emission factor</t>
  </si>
  <si>
    <t>Clothes Dryers</t>
  </si>
  <si>
    <t>lbs per load</t>
  </si>
  <si>
    <t>(DOE test procedure)</t>
  </si>
  <si>
    <t>loads per year</t>
  </si>
  <si>
    <t>Electricity Generation</t>
  </si>
  <si>
    <t>transmission losses</t>
  </si>
  <si>
    <t>Residential Electricity, Gas, Oil, and Propane Prices</t>
  </si>
  <si>
    <t>Lookup</t>
  </si>
  <si>
    <t>State or Province</t>
  </si>
  <si>
    <t>Abbrev</t>
  </si>
  <si>
    <t>Residential Electricity Prices: Cents per Kilowatthour</t>
  </si>
  <si>
    <t>Residential Natural Gas Price ($/MMBtu)</t>
  </si>
  <si>
    <t>Oil $/gal</t>
  </si>
  <si>
    <t xml:space="preserve"> Propane $/gal</t>
  </si>
  <si>
    <t>Source (US Data):</t>
  </si>
  <si>
    <t>Average Retail Price of Electricity (2023 data)</t>
  </si>
  <si>
    <t>Retail Sales of Electricity to Ultimate Customers: Annual Data by Sector, by State, by Provider</t>
  </si>
  <si>
    <t>https://www.eia.gov/electricity/data.php</t>
  </si>
  <si>
    <t>Residential Natural Gas Prices (2023 data)</t>
  </si>
  <si>
    <t>https://www.eia.gov/dnav/ng/ng_pri_sum_a_EPG0_PRS_DMcf_a.htm</t>
  </si>
  <si>
    <t>CF</t>
  </si>
  <si>
    <t>Residential Propane Prices (2023 data, applied US Average to states with no data)</t>
  </si>
  <si>
    <t>CL</t>
  </si>
  <si>
    <t>https://www.eia.gov/dnav/pet/pet_pri_wfr_a_EPLLPA_PRS_dpgal_w.htm</t>
  </si>
  <si>
    <t>DL</t>
  </si>
  <si>
    <t>Residential Heating Oil Prices (2023 data, applied US Average to states with no data)</t>
  </si>
  <si>
    <t>https://www.eia.gov/dnav/pet/pet_pri_wfr_a_EPD2F_prs_dpgal_w.htm</t>
  </si>
  <si>
    <t>Source (Canadian Data)</t>
  </si>
  <si>
    <t>HA</t>
  </si>
  <si>
    <t>Residential Electricity Price (2023)</t>
  </si>
  <si>
    <t>Assumes 1000 kWh/yr consumption; 0.74:1 CAD/USD</t>
  </si>
  <si>
    <t>https://www.energyhub.org/electricity-prices/</t>
  </si>
  <si>
    <t>Natural Resources Canada</t>
  </si>
  <si>
    <t>KA</t>
  </si>
  <si>
    <t>Energy Prices by Energy Source - Natural Gas (2022)</t>
  </si>
  <si>
    <t>Used 0.72 CAD/USD</t>
  </si>
  <si>
    <t>https://oee.nrcan.gc.ca/corporate/statistics/neud/dpa/showTable.cfm?type=HB&amp;sector=res&amp;juris=00&amp;rn=18&amp;page=0#sources</t>
  </si>
  <si>
    <t>Weekly Average Retail Prices for Furnace Oil in 2024</t>
  </si>
  <si>
    <t>https://www2.nrcan.gc.ca/eneene/sources/pripri/prices_bycity_e.cfm?productID=7&amp;locationID=66&amp;locationID=8&amp;locationID=29&amp;frequency=W&amp;priceYear=2024&amp;Redisplay=</t>
  </si>
  <si>
    <t>MC</t>
  </si>
  <si>
    <t>Weekly Average Retail Prices for Auto Propane in 2024</t>
  </si>
  <si>
    <t>https://www2.nrcan-rncan.gc.ca/eneene/sources/pripri/prices_bycity_e.cfm?productID=6&amp;locationID=66&amp;frequency=M&amp;priceYear=2024&amp;Redisplay=</t>
  </si>
  <si>
    <t>NL</t>
  </si>
  <si>
    <t>PEI</t>
  </si>
  <si>
    <t>QC</t>
  </si>
  <si>
    <t>United States</t>
  </si>
  <si>
    <t>WN</t>
  </si>
  <si>
    <t>WS</t>
  </si>
  <si>
    <t>Heat Type</t>
  </si>
  <si>
    <t>Water Heat Type</t>
  </si>
  <si>
    <t>House Square Footage</t>
  </si>
  <si>
    <t>NG Heating System Type</t>
  </si>
  <si>
    <t>Current System</t>
  </si>
  <si>
    <t>NG Heating AFUE</t>
  </si>
  <si>
    <t>Oil Heating System Type</t>
  </si>
  <si>
    <t>Gas Heating System Type</t>
  </si>
  <si>
    <t>Heating Load (MMBtu)</t>
  </si>
  <si>
    <t>NG Consumption (MMBtu)</t>
  </si>
  <si>
    <t>Oil Consumption (MMBtu)</t>
  </si>
  <si>
    <t>Gas Consumption</t>
  </si>
  <si>
    <t>CO2 Emissions</t>
  </si>
  <si>
    <t>lbs/yr</t>
  </si>
  <si>
    <t>Oil Consumption (gal)</t>
  </si>
  <si>
    <t>gal/yr</t>
  </si>
  <si>
    <t>Electric Heating System Type</t>
  </si>
  <si>
    <t>Adjusted HSPF</t>
  </si>
  <si>
    <t>Propane Heating System Type</t>
  </si>
  <si>
    <t>Electric Resistance AFUE</t>
  </si>
  <si>
    <t>Propane Consumption (MMBtu)</t>
  </si>
  <si>
    <t>Displaced Electricity (house)</t>
  </si>
  <si>
    <t>MWh/yr</t>
  </si>
  <si>
    <t>Propane Consumption (gal)</t>
  </si>
  <si>
    <t>Displaced Electric Generation</t>
  </si>
  <si>
    <t>Generation Fuel Consumption</t>
  </si>
  <si>
    <t>Oil Water Heat Type</t>
  </si>
  <si>
    <t>Gas Water Heat Type</t>
  </si>
  <si>
    <t>NG Water Heat Type</t>
  </si>
  <si>
    <t>Oil Energy Factor (UEF)</t>
  </si>
  <si>
    <t>Gas Updated Energy Factor (UEF)</t>
  </si>
  <si>
    <t>NG Updated Energy Factor (UEF)</t>
  </si>
  <si>
    <t>Regional load factor</t>
  </si>
  <si>
    <t xml:space="preserve">NG Consumption (MMBtu) </t>
  </si>
  <si>
    <t xml:space="preserve">Water Heating Load (MMBtu) </t>
  </si>
  <si>
    <t>Elec Water Heat Type</t>
  </si>
  <si>
    <t>Propane Water Heat Type</t>
  </si>
  <si>
    <t>Updated Elec Energy Factor (UEF)</t>
  </si>
  <si>
    <t>Propane Updated Energy Factor (UEF)</t>
  </si>
  <si>
    <t>Clothes Drying</t>
  </si>
  <si>
    <t>Dryer Loads per week</t>
  </si>
  <si>
    <t>Propane Consumption</t>
  </si>
  <si>
    <t>Dryer Loads per year</t>
  </si>
  <si>
    <t>NG Standard Dryer (EF)</t>
  </si>
  <si>
    <t>Gas Consumed per unit (MMBtu/yr) Standard</t>
  </si>
  <si>
    <t>MMBtu/yr (based on 416 loads/year)</t>
  </si>
  <si>
    <t>Gas Consumed per load (MMBtu/yr)</t>
  </si>
  <si>
    <t>Current NG Consumption</t>
  </si>
  <si>
    <t>MMBTU/yr</t>
  </si>
  <si>
    <t>Total Gas Consumed per unit (MMBtu/yr)</t>
  </si>
  <si>
    <t>Elec Standard Dryer (EF)</t>
  </si>
  <si>
    <t>Gas Consumed (MMBtu/yr)</t>
  </si>
  <si>
    <t>NG Range Efficiency</t>
  </si>
  <si>
    <t>Cooking Energy</t>
  </si>
  <si>
    <t>Electric efficiency</t>
  </si>
  <si>
    <t>Elec cooking load (MMBtu/yr)</t>
  </si>
  <si>
    <t>Current Gas Consumption</t>
  </si>
  <si>
    <t>NG CO2 Emissions</t>
  </si>
  <si>
    <t>Total</t>
  </si>
  <si>
    <t>NG Alternative Consumption</t>
  </si>
  <si>
    <t>Oil Consumption</t>
  </si>
  <si>
    <t>(gal/yr)</t>
  </si>
  <si>
    <t>Total Displaced Electricity (at the house)</t>
  </si>
  <si>
    <t>Current Home Gas Consumption</t>
  </si>
  <si>
    <t>NG NOx input</t>
  </si>
  <si>
    <t>lb/MMBtu</t>
  </si>
  <si>
    <t>NG NOx</t>
  </si>
  <si>
    <t>lbs/year</t>
  </si>
  <si>
    <t>NG SO2 input</t>
  </si>
  <si>
    <t xml:space="preserve">NG SO2  </t>
  </si>
  <si>
    <t>NG CO2 input</t>
  </si>
  <si>
    <t xml:space="preserve">NG CO2  </t>
  </si>
  <si>
    <t>Elec NOx rate</t>
  </si>
  <si>
    <t>lb/MWh</t>
  </si>
  <si>
    <t>Elec SO2 rate</t>
  </si>
  <si>
    <t>Elec CO2 rate</t>
  </si>
  <si>
    <t>Total Displaced Generation</t>
  </si>
  <si>
    <t>Elec NOx</t>
  </si>
  <si>
    <t>Elec SO2</t>
  </si>
  <si>
    <t>Elec CO2</t>
  </si>
  <si>
    <t>CO2 Displaced</t>
  </si>
  <si>
    <t>tons/yr</t>
  </si>
  <si>
    <t>Carbon Displaced (metric tons)</t>
  </si>
  <si>
    <t>metric tons</t>
  </si>
  <si>
    <t>Cars taken off the road</t>
  </si>
  <si>
    <t>Acres of forest</t>
  </si>
  <si>
    <t>Miles driven per year</t>
  </si>
  <si>
    <t>Used for graphs on User Input page</t>
  </si>
  <si>
    <t>NOx</t>
  </si>
  <si>
    <t>SOx</t>
  </si>
  <si>
    <t>CO2</t>
  </si>
  <si>
    <t>Look up Residential Prices</t>
  </si>
  <si>
    <t>cents/kWh</t>
  </si>
  <si>
    <t>dollars/MMBtu</t>
  </si>
  <si>
    <t>dollars/gal</t>
  </si>
  <si>
    <t>User Input Elec price</t>
  </si>
  <si>
    <t>User Input NG price</t>
  </si>
  <si>
    <t>User Input Oil price</t>
  </si>
  <si>
    <t>User Input Propane price</t>
  </si>
  <si>
    <t>Elec price for calc</t>
  </si>
  <si>
    <t>NG price for calc</t>
  </si>
  <si>
    <t>Oil Price for calc</t>
  </si>
  <si>
    <t>Propane Price for calc</t>
  </si>
  <si>
    <t>Energy Cost Calculations</t>
  </si>
  <si>
    <t>NG Alternative Calculation</t>
  </si>
  <si>
    <t>$</t>
  </si>
  <si>
    <t>Cost</t>
  </si>
  <si>
    <t>Electricity Calculation</t>
  </si>
  <si>
    <t>Gas Home</t>
  </si>
  <si>
    <t>Oil Calculation</t>
  </si>
  <si>
    <t>Propane Calculation</t>
  </si>
  <si>
    <t>MMBTU/Yr</t>
  </si>
  <si>
    <t>KWH</t>
  </si>
  <si>
    <t>Current Gas Calculation</t>
  </si>
  <si>
    <t>NOx/SOx</t>
  </si>
  <si>
    <t xml:space="preserve">Commercial Carbon Calculator </t>
  </si>
  <si>
    <t>To update carbon calculator, ONLY update the table below and the table in columns BS:BW (Canada). Both are highlighted in blue</t>
  </si>
  <si>
    <t>Developed by:</t>
  </si>
  <si>
    <t>eGRID2023 (v2, 2025 Release), 2022 for Canada</t>
  </si>
  <si>
    <t>Canada Data</t>
  </si>
  <si>
    <t>Emissions Summary</t>
  </si>
  <si>
    <t>*values in columns BZ-CC are the ones used in calculations, but they are pulled from table starting in AF</t>
  </si>
  <si>
    <t>Other Data</t>
  </si>
  <si>
    <t>Lists</t>
  </si>
  <si>
    <t>*only blue highlighted values are used for calcilations</t>
  </si>
  <si>
    <r>
      <t>CO</t>
    </r>
    <r>
      <rPr>
        <vertAlign val="subscript"/>
        <sz val="11"/>
        <color theme="1"/>
        <rFont val="Calibri"/>
        <family val="2"/>
        <scheme val="minor"/>
      </rPr>
      <t>2</t>
    </r>
    <r>
      <rPr>
        <sz val="10"/>
        <rFont val="Arial"/>
        <family val="2"/>
      </rPr>
      <t xml:space="preserve"> Emissions</t>
    </r>
  </si>
  <si>
    <r>
      <t>SO</t>
    </r>
    <r>
      <rPr>
        <vertAlign val="subscript"/>
        <sz val="11"/>
        <color theme="1"/>
        <rFont val="Calibri"/>
        <family val="2"/>
        <scheme val="minor"/>
      </rPr>
      <t>X</t>
    </r>
    <r>
      <rPr>
        <sz val="10"/>
        <rFont val="Arial"/>
        <family val="2"/>
      </rPr>
      <t xml:space="preserve"> and NO</t>
    </r>
    <r>
      <rPr>
        <vertAlign val="subscript"/>
        <sz val="11"/>
        <color theme="1"/>
        <rFont val="Calibri"/>
        <family val="2"/>
        <scheme val="minor"/>
      </rPr>
      <t>X</t>
    </r>
    <r>
      <rPr>
        <sz val="10"/>
        <rFont val="Arial"/>
        <family val="2"/>
      </rPr>
      <t xml:space="preserve"> Emissions</t>
    </r>
  </si>
  <si>
    <t>Canadian Average All Sources</t>
  </si>
  <si>
    <t>eGRID2023 US, NIR (2022) and NPRI Canada (2011)</t>
  </si>
  <si>
    <t>NOX Emission Factors, EPA AP-42 Section 1.4 Natural Gas Combustion, Table 3.4-1</t>
  </si>
  <si>
    <t>Unit Conversions</t>
  </si>
  <si>
    <t>Consumption</t>
  </si>
  <si>
    <t>Regions</t>
  </si>
  <si>
    <t>Emissions Profile</t>
  </si>
  <si>
    <t>*update table below</t>
  </si>
  <si>
    <t>eGRID2023 (2025 release)</t>
  </si>
  <si>
    <t>State abbreviation</t>
  </si>
  <si>
    <t>State nameplate capacity (MW)</t>
  </si>
  <si>
    <t>State annual heat input (MMBtu)</t>
  </si>
  <si>
    <t>State annual net generation (MWh)</t>
  </si>
  <si>
    <t>State annual NOx emissions (tons)</t>
  </si>
  <si>
    <t>State annual SO2 emissions (tons)</t>
  </si>
  <si>
    <t>State annual CO2 emissions (tons)</t>
  </si>
  <si>
    <t>State annual NOx total output emission rate (lb/MWh)</t>
  </si>
  <si>
    <t>State annual SO2 total output emission rate (lb/MWh)</t>
  </si>
  <si>
    <t>State annual CO2 total output emission rate (lb/MWh)</t>
  </si>
  <si>
    <t>State annual NOx input emission rate (lb/MMBtu)</t>
  </si>
  <si>
    <t>State ozone season NOx input emission rate (lb/MMBtu)</t>
  </si>
  <si>
    <t>State annual SO2 input emission rate (lb/MMBtu)</t>
  </si>
  <si>
    <t>State annual CO2 input emission rate (lb/MMBtu)</t>
  </si>
  <si>
    <t>State annual NOx fossil fuel output emission rate (lb/MWh)</t>
  </si>
  <si>
    <t>State annual SO2 fossil fuel output emission rate (lb/MWh)</t>
  </si>
  <si>
    <t>State annual CO2 fossil fuel output emission rate (lb/MWh)</t>
  </si>
  <si>
    <t>State annual NOx fossil fuel input emission rate (lb/MMBtu)</t>
  </si>
  <si>
    <t>State annual SO2 fossil fuel input emission rate (lb/MMBtu)</t>
  </si>
  <si>
    <t>State annual CO2 fossil fuel input emission rate (lb/MMBtu)</t>
  </si>
  <si>
    <t>State annual coal net generation (MWh)</t>
  </si>
  <si>
    <t>State annual oil net generation (MWh)</t>
  </si>
  <si>
    <t>State annual gas net generation (MWh)</t>
  </si>
  <si>
    <t>State annual other fossil net generation (MWh)</t>
  </si>
  <si>
    <t>State coal generation percent (resource mix)</t>
  </si>
  <si>
    <t>State oil generation percent (resource mix)</t>
  </si>
  <si>
    <t>State gas generation percent (resource mix)</t>
  </si>
  <si>
    <t>State other fossil  generation percent (resource mix)</t>
  </si>
  <si>
    <t>State total combustion generation percent (resource mix)</t>
  </si>
  <si>
    <t>Total Annual Heat Rate (Btu/kWh)</t>
  </si>
  <si>
    <t>Fossil Annual Heat Rate (Btu/kWh)</t>
  </si>
  <si>
    <r>
      <t>CO</t>
    </r>
    <r>
      <rPr>
        <vertAlign val="subscript"/>
        <sz val="11"/>
        <color theme="1"/>
        <rFont val="Calibri"/>
        <family val="2"/>
        <scheme val="minor"/>
      </rPr>
      <t>2</t>
    </r>
    <r>
      <rPr>
        <sz val="10"/>
        <rFont val="Arial"/>
        <family val="2"/>
      </rPr>
      <t xml:space="preserve"> - g CO</t>
    </r>
    <r>
      <rPr>
        <vertAlign val="subscript"/>
        <sz val="11"/>
        <color theme="1"/>
        <rFont val="Calibri"/>
        <family val="2"/>
        <scheme val="minor"/>
      </rPr>
      <t>2</t>
    </r>
    <r>
      <rPr>
        <sz val="10"/>
        <rFont val="Arial"/>
        <family val="2"/>
      </rPr>
      <t xml:space="preserve"> eq/kWh</t>
    </r>
  </si>
  <si>
    <r>
      <t>CO</t>
    </r>
    <r>
      <rPr>
        <vertAlign val="subscript"/>
        <sz val="11"/>
        <color theme="1"/>
        <rFont val="Calibri"/>
        <family val="2"/>
        <scheme val="minor"/>
      </rPr>
      <t>2</t>
    </r>
    <r>
      <rPr>
        <sz val="10"/>
        <rFont val="Arial"/>
        <family val="2"/>
      </rPr>
      <t xml:space="preserve"> - lb CO</t>
    </r>
    <r>
      <rPr>
        <vertAlign val="subscript"/>
        <sz val="11"/>
        <color theme="1"/>
        <rFont val="Calibri"/>
        <family val="2"/>
        <scheme val="minor"/>
      </rPr>
      <t>2</t>
    </r>
    <r>
      <rPr>
        <sz val="10"/>
        <rFont val="Arial"/>
        <family val="2"/>
      </rPr>
      <t xml:space="preserve"> eq/MWh</t>
    </r>
  </si>
  <si>
    <r>
      <t>SO</t>
    </r>
    <r>
      <rPr>
        <vertAlign val="subscript"/>
        <sz val="11"/>
        <rFont val="Calibri"/>
        <family val="2"/>
        <scheme val="minor"/>
      </rPr>
      <t>X</t>
    </r>
    <r>
      <rPr>
        <sz val="11"/>
        <rFont val="Calibri"/>
        <family val="2"/>
        <scheme val="minor"/>
      </rPr>
      <t xml:space="preserve"> (t)</t>
    </r>
    <r>
      <rPr>
        <vertAlign val="superscript"/>
        <sz val="11"/>
        <rFont val="Calibri"/>
        <family val="2"/>
        <scheme val="minor"/>
      </rPr>
      <t>1</t>
    </r>
  </si>
  <si>
    <r>
      <t>NO</t>
    </r>
    <r>
      <rPr>
        <vertAlign val="subscript"/>
        <sz val="11"/>
        <rFont val="Calibri"/>
        <family val="2"/>
        <scheme val="minor"/>
      </rPr>
      <t>X</t>
    </r>
    <r>
      <rPr>
        <sz val="11"/>
        <rFont val="Calibri"/>
        <family val="2"/>
        <scheme val="minor"/>
      </rPr>
      <t xml:space="preserve"> (t)</t>
    </r>
    <r>
      <rPr>
        <vertAlign val="superscript"/>
        <sz val="11"/>
        <rFont val="Calibri"/>
        <family val="2"/>
        <scheme val="minor"/>
      </rPr>
      <t>1</t>
    </r>
  </si>
  <si>
    <r>
      <t>SO</t>
    </r>
    <r>
      <rPr>
        <vertAlign val="subscript"/>
        <sz val="11"/>
        <rFont val="Calibri"/>
        <family val="2"/>
        <scheme val="minor"/>
      </rPr>
      <t>X</t>
    </r>
    <r>
      <rPr>
        <sz val="11"/>
        <rFont val="Calibri"/>
        <family val="2"/>
        <scheme val="minor"/>
      </rPr>
      <t xml:space="preserve"> (pounds)</t>
    </r>
  </si>
  <si>
    <r>
      <t>NO</t>
    </r>
    <r>
      <rPr>
        <vertAlign val="subscript"/>
        <sz val="11"/>
        <rFont val="Calibri"/>
        <family val="2"/>
        <scheme val="minor"/>
      </rPr>
      <t>X</t>
    </r>
    <r>
      <rPr>
        <sz val="11"/>
        <rFont val="Calibri"/>
        <family val="2"/>
        <scheme val="minor"/>
      </rPr>
      <t xml:space="preserve"> (pounds)</t>
    </r>
  </si>
  <si>
    <r>
      <t>Generation (GWh)</t>
    </r>
    <r>
      <rPr>
        <vertAlign val="superscript"/>
        <sz val="11"/>
        <rFont val="Calibri"/>
        <family val="2"/>
        <scheme val="minor"/>
      </rPr>
      <t>2</t>
    </r>
  </si>
  <si>
    <r>
      <t>SO</t>
    </r>
    <r>
      <rPr>
        <vertAlign val="subscript"/>
        <sz val="11"/>
        <rFont val="Calibri"/>
        <family val="2"/>
        <scheme val="minor"/>
      </rPr>
      <t>2</t>
    </r>
    <r>
      <rPr>
        <sz val="11"/>
        <rFont val="Calibri"/>
        <family val="2"/>
        <scheme val="minor"/>
      </rPr>
      <t xml:space="preserve"> output emission rate (lb/MWh)</t>
    </r>
  </si>
  <si>
    <r>
      <t>NO</t>
    </r>
    <r>
      <rPr>
        <vertAlign val="subscript"/>
        <sz val="11"/>
        <rFont val="Calibri"/>
        <family val="2"/>
        <scheme val="minor"/>
      </rPr>
      <t>X</t>
    </r>
    <r>
      <rPr>
        <sz val="11"/>
        <rFont val="Calibri"/>
        <family val="2"/>
        <scheme val="minor"/>
      </rPr>
      <t xml:space="preserve"> output emission rate (lb/MWh)</t>
    </r>
  </si>
  <si>
    <t>Canada Province</t>
  </si>
  <si>
    <r>
      <t>2022 CO</t>
    </r>
    <r>
      <rPr>
        <vertAlign val="subscript"/>
        <sz val="11"/>
        <color theme="1"/>
        <rFont val="Calibri"/>
        <family val="2"/>
        <scheme val="minor"/>
      </rPr>
      <t>2</t>
    </r>
    <r>
      <rPr>
        <sz val="10"/>
        <rFont val="Arial"/>
        <family val="2"/>
      </rPr>
      <t xml:space="preserve"> Emission Rate (lb/MWh)</t>
    </r>
    <r>
      <rPr>
        <vertAlign val="superscript"/>
        <sz val="11"/>
        <color theme="1"/>
        <rFont val="Calibri"/>
        <family val="2"/>
        <scheme val="minor"/>
      </rPr>
      <t>1</t>
    </r>
  </si>
  <si>
    <r>
      <t>2011 NO</t>
    </r>
    <r>
      <rPr>
        <vertAlign val="subscript"/>
        <sz val="11"/>
        <color theme="1"/>
        <rFont val="Calibri"/>
        <family val="2"/>
        <scheme val="minor"/>
      </rPr>
      <t>X</t>
    </r>
    <r>
      <rPr>
        <sz val="10"/>
        <rFont val="Arial"/>
        <family val="2"/>
      </rPr>
      <t xml:space="preserve"> Emission Rate (lb/MWh)</t>
    </r>
    <r>
      <rPr>
        <vertAlign val="superscript"/>
        <sz val="11"/>
        <color theme="1"/>
        <rFont val="Calibri"/>
        <family val="2"/>
        <scheme val="minor"/>
      </rPr>
      <t>2</t>
    </r>
  </si>
  <si>
    <r>
      <t>2011 SO</t>
    </r>
    <r>
      <rPr>
        <vertAlign val="subscript"/>
        <sz val="11"/>
        <color theme="1"/>
        <rFont val="Calibri"/>
        <family val="2"/>
        <scheme val="minor"/>
      </rPr>
      <t>2</t>
    </r>
    <r>
      <rPr>
        <sz val="10"/>
        <rFont val="Arial"/>
        <family val="2"/>
      </rPr>
      <t xml:space="preserve"> Emission Rate (lb/MWh)</t>
    </r>
    <r>
      <rPr>
        <vertAlign val="superscript"/>
        <sz val="11"/>
        <color theme="1"/>
        <rFont val="Calibri"/>
        <family val="2"/>
        <scheme val="minor"/>
      </rPr>
      <t>2,3</t>
    </r>
  </si>
  <si>
    <t>Province Annual Heat Rate (Btu/kWh)</t>
  </si>
  <si>
    <r>
      <t>CO</t>
    </r>
    <r>
      <rPr>
        <vertAlign val="subscript"/>
        <sz val="11"/>
        <color theme="1"/>
        <rFont val="Calibri"/>
        <family val="2"/>
        <scheme val="minor"/>
      </rPr>
      <t>2</t>
    </r>
    <r>
      <rPr>
        <sz val="10"/>
        <rFont val="Arial"/>
        <family val="2"/>
      </rPr>
      <t xml:space="preserve"> Emission Rate (lb/MWh)</t>
    </r>
  </si>
  <si>
    <r>
      <t>SO</t>
    </r>
    <r>
      <rPr>
        <vertAlign val="subscript"/>
        <sz val="11"/>
        <color theme="1"/>
        <rFont val="Calibri"/>
        <family val="2"/>
        <scheme val="minor"/>
      </rPr>
      <t>2</t>
    </r>
    <r>
      <rPr>
        <sz val="10"/>
        <rFont val="Arial"/>
        <family val="2"/>
      </rPr>
      <t xml:space="preserve"> Emission Rate (lb/MWh)</t>
    </r>
  </si>
  <si>
    <r>
      <t>NO</t>
    </r>
    <r>
      <rPr>
        <vertAlign val="subscript"/>
        <sz val="11"/>
        <color theme="1"/>
        <rFont val="Calibri"/>
        <family val="2"/>
        <scheme val="minor"/>
      </rPr>
      <t>X</t>
    </r>
    <r>
      <rPr>
        <sz val="10"/>
        <rFont val="Arial"/>
        <family val="2"/>
      </rPr>
      <t xml:space="preserve"> Emission Rate (lb/MWh)</t>
    </r>
  </si>
  <si>
    <t>Annual Heat Rate (Btu/kWh)</t>
  </si>
  <si>
    <t>Pollutant</t>
  </si>
  <si>
    <t># of Tests</t>
  </si>
  <si>
    <r>
      <t>Emission Factor (lb/10</t>
    </r>
    <r>
      <rPr>
        <vertAlign val="superscript"/>
        <sz val="11"/>
        <color theme="1"/>
        <rFont val="Calibri"/>
        <family val="2"/>
        <scheme val="minor"/>
      </rPr>
      <t>6</t>
    </r>
    <r>
      <rPr>
        <sz val="10"/>
        <rFont val="Arial"/>
        <family val="2"/>
      </rPr>
      <t xml:space="preserve"> scf)</t>
    </r>
  </si>
  <si>
    <t>Relative St. Dev (%)</t>
  </si>
  <si>
    <t>Value</t>
  </si>
  <si>
    <t>Units</t>
  </si>
  <si>
    <t>Monthly</t>
  </si>
  <si>
    <t>eGrid Subregions Ave All Sources</t>
  </si>
  <si>
    <t>US_Average_All_Sources</t>
  </si>
  <si>
    <t>US_Average_Fossil</t>
  </si>
  <si>
    <t>eGrid_Subregions_Ave_All_Sources</t>
  </si>
  <si>
    <t>eGrid_Subregions_Average_Fossil</t>
  </si>
  <si>
    <t>NERC_Average_All_Sources</t>
  </si>
  <si>
    <t>NERC_Average_Fossil</t>
  </si>
  <si>
    <t>Canadian_Average_All_Sources</t>
  </si>
  <si>
    <t>User Input</t>
  </si>
  <si>
    <t>N/A</t>
  </si>
  <si>
    <t>Generation Intensity</t>
  </si>
  <si>
    <t>Consumption Intensity</t>
  </si>
  <si>
    <r>
      <t>Losses</t>
    </r>
    <r>
      <rPr>
        <vertAlign val="superscript"/>
        <sz val="11"/>
        <color theme="1"/>
        <rFont val="Calibri"/>
        <family val="2"/>
        <scheme val="minor"/>
      </rPr>
      <t>1</t>
    </r>
  </si>
  <si>
    <t>Canada Average</t>
  </si>
  <si>
    <t>NOx (Small-Unc.)</t>
  </si>
  <si>
    <t>short ton/metric ton</t>
  </si>
  <si>
    <t>Annual</t>
  </si>
  <si>
    <t>eGrid Subregions Average Fossil</t>
  </si>
  <si>
    <t>Alaska Systems Coordinating Council</t>
  </si>
  <si>
    <t>Comparison Cases</t>
  </si>
  <si>
    <t>NOx (Small-Low NOx)</t>
  </si>
  <si>
    <t>mmbtu/therm</t>
  </si>
  <si>
    <t>Hawaiian Islands Coordinating Council</t>
  </si>
  <si>
    <t>Description</t>
  </si>
  <si>
    <t>Gas Alternative</t>
  </si>
  <si>
    <t>#5</t>
  </si>
  <si>
    <t>#6</t>
  </si>
  <si>
    <t>NOx (Small-Low NOx/FGR)</t>
  </si>
  <si>
    <t>pounds/short ton</t>
  </si>
  <si>
    <t>Midwest Reliability Organization</t>
  </si>
  <si>
    <t>NOx (Large Wall-Fired-Low NOx)</t>
  </si>
  <si>
    <t>grams/pound</t>
  </si>
  <si>
    <t>Northeast Power Coordinating Council</t>
  </si>
  <si>
    <t>Electricity Consumption (kWh/yr)</t>
  </si>
  <si>
    <t>% zero-carbon</t>
  </si>
  <si>
    <t>NOx (Large Wall-Fired-FGR)</t>
  </si>
  <si>
    <t>Reliability First Corporation</t>
  </si>
  <si>
    <t>(onsite PV)</t>
  </si>
  <si>
    <t>NOx (Large Wall-Fired Unc. Pre-NSPS)</t>
  </si>
  <si>
    <t>SERC Reliability Corporation</t>
  </si>
  <si>
    <t>Natural Gas Consumption (MMBtu/yr)</t>
  </si>
  <si>
    <t>NOx (Large Wall-Fired Unc. Post-NSPS)</t>
  </si>
  <si>
    <t>Texas Regional Entity</t>
  </si>
  <si>
    <t>(RNG, Hydrogen)</t>
  </si>
  <si>
    <t>NOx (Tangential-Unc.)</t>
  </si>
  <si>
    <t>Western Electricity Coordinating Council</t>
  </si>
  <si>
    <t>Propane Consumption (gal/yr)</t>
  </si>
  <si>
    <t>NOx (Tangential-FGR)</t>
  </si>
  <si>
    <t>NPCC Long Island</t>
  </si>
  <si>
    <t>(Renewable Propane)</t>
  </si>
  <si>
    <t>Heating Oil Consumption (gal/yr)</t>
  </si>
  <si>
    <t>(Biofuels)</t>
  </si>
  <si>
    <r>
      <rPr>
        <vertAlign val="superscript"/>
        <sz val="11"/>
        <rFont val="Calibri"/>
        <family val="2"/>
        <scheme val="minor"/>
      </rPr>
      <t>1</t>
    </r>
    <r>
      <rPr>
        <sz val="11"/>
        <rFont val="Calibri"/>
        <family val="2"/>
        <scheme val="minor"/>
      </rPr>
      <t xml:space="preserve"> 2011 metric tons, taken from National Pollutant Release Inventory (NPRI) Downloadable Datasets, 2011 Air Pollutant Emission Summaries and Trends. 2011 Emissions from Electric Power Generation (Utilities)</t>
    </r>
  </si>
  <si>
    <r>
      <rPr>
        <vertAlign val="superscript"/>
        <sz val="11"/>
        <color theme="1"/>
        <rFont val="Calibri"/>
        <family val="2"/>
        <scheme val="minor"/>
      </rPr>
      <t>1</t>
    </r>
    <r>
      <rPr>
        <sz val="10"/>
        <rFont val="Arial"/>
        <family val="2"/>
      </rPr>
      <t xml:space="preserve"> 2020 CO2 Emission Rate taken from Canada's Official Greenhouse Gas Inventory, https://data.ec.gc.ca/data/substances/monitor/canada-s-official-greenhouse-gas-inventory </t>
    </r>
  </si>
  <si>
    <r>
      <rPr>
        <vertAlign val="superscript"/>
        <sz val="11"/>
        <color theme="1"/>
        <rFont val="Calibri"/>
        <family val="2"/>
        <scheme val="minor"/>
      </rPr>
      <t>1</t>
    </r>
    <r>
      <rPr>
        <sz val="10"/>
        <rFont val="Arial"/>
        <family val="2"/>
      </rPr>
      <t xml:space="preserve"> Losses include transmission line losses, metering differences, and other losses</t>
    </r>
  </si>
  <si>
    <t>http://www.ec.gc.ca/inrp-npri/default.asp?lang=en&amp;n=0EC58C98-#Emission_Summaries</t>
  </si>
  <si>
    <r>
      <rPr>
        <vertAlign val="superscript"/>
        <sz val="11"/>
        <color theme="1"/>
        <rFont val="Calibri"/>
        <family val="2"/>
        <scheme val="minor"/>
      </rPr>
      <t xml:space="preserve">2 </t>
    </r>
    <r>
      <rPr>
        <sz val="10"/>
        <rFont val="Arial"/>
        <family val="2"/>
      </rPr>
      <t>NOX and SOX Emissions taken from National Pollutant Release Inventory (NPRI) Downloadable Datasets, 2011 Air Pollutant Emission Summaries and Trends. 2011 Emissions from Electric Power Generation (Utilities)</t>
    </r>
  </si>
  <si>
    <t xml:space="preserve">Source: Canada's Official Greenhouse Gas Inventory, 2022 data, </t>
  </si>
  <si>
    <r>
      <rPr>
        <vertAlign val="superscript"/>
        <sz val="11"/>
        <rFont val="Calibri"/>
        <family val="2"/>
        <scheme val="minor"/>
      </rPr>
      <t>2</t>
    </r>
    <r>
      <rPr>
        <sz val="11"/>
        <rFont val="Calibri"/>
        <family val="2"/>
        <scheme val="minor"/>
      </rPr>
      <t xml:space="preserve"> 2011 Generation, taken from National Inventory Report, Greenhouse Gas Sources and Sinks in Canada 1990-2011, Environment Canada, Part 3</t>
    </r>
  </si>
  <si>
    <t>Region</t>
  </si>
  <si>
    <t xml:space="preserve">https://data.ec.gc.ca/data/substances/monitor/canada-s-official-greenhouse-gas-inventory/C-Tables-Electricity-Canada-Provinces-Territories/?lang=en </t>
  </si>
  <si>
    <r>
      <rPr>
        <vertAlign val="superscript"/>
        <sz val="11"/>
        <color theme="1"/>
        <rFont val="Calibri"/>
        <family val="2"/>
        <scheme val="minor"/>
      </rPr>
      <t xml:space="preserve">3 </t>
    </r>
    <r>
      <rPr>
        <sz val="10"/>
        <rFont val="Arial"/>
        <family val="2"/>
      </rPr>
      <t>SOX emissions used to estimate SO2 emissions</t>
    </r>
  </si>
  <si>
    <t>Annual Results</t>
  </si>
  <si>
    <t>Current</t>
  </si>
  <si>
    <t>Home</t>
  </si>
  <si>
    <t>Energy Consumption</t>
  </si>
  <si>
    <t>Electricity (generated at central power plant)</t>
  </si>
  <si>
    <t>Heating Oil</t>
  </si>
  <si>
    <t>Total Energy Consumption</t>
  </si>
  <si>
    <r>
      <t>CO</t>
    </r>
    <r>
      <rPr>
        <b/>
        <vertAlign val="subscript"/>
        <sz val="11"/>
        <color theme="1"/>
        <rFont val="Calibri"/>
        <family val="2"/>
        <scheme val="minor"/>
      </rPr>
      <t xml:space="preserve">2 </t>
    </r>
    <r>
      <rPr>
        <b/>
        <sz val="11"/>
        <color theme="1"/>
        <rFont val="Calibri"/>
        <family val="2"/>
        <scheme val="minor"/>
      </rPr>
      <t>Emissions</t>
    </r>
  </si>
  <si>
    <t>lb/year</t>
  </si>
  <si>
    <t>Electricity</t>
  </si>
  <si>
    <r>
      <t>Total CO</t>
    </r>
    <r>
      <rPr>
        <b/>
        <vertAlign val="subscript"/>
        <sz val="11"/>
        <color theme="1"/>
        <rFont val="Calibri"/>
        <family val="2"/>
        <scheme val="minor"/>
      </rPr>
      <t xml:space="preserve">2 </t>
    </r>
    <r>
      <rPr>
        <b/>
        <sz val="11"/>
        <color theme="1"/>
        <rFont val="Calibri"/>
        <family val="2"/>
        <scheme val="minor"/>
      </rPr>
      <t>Emissions</t>
    </r>
  </si>
  <si>
    <r>
      <t>SO</t>
    </r>
    <r>
      <rPr>
        <b/>
        <vertAlign val="subscript"/>
        <sz val="11"/>
        <color theme="1"/>
        <rFont val="Calibri"/>
        <family val="2"/>
        <scheme val="minor"/>
      </rPr>
      <t xml:space="preserve">2 </t>
    </r>
    <r>
      <rPr>
        <b/>
        <sz val="11"/>
        <color theme="1"/>
        <rFont val="Calibri"/>
        <family val="2"/>
        <scheme val="minor"/>
      </rPr>
      <t>Emissions</t>
    </r>
  </si>
  <si>
    <r>
      <t>Total SO</t>
    </r>
    <r>
      <rPr>
        <b/>
        <vertAlign val="subscript"/>
        <sz val="11"/>
        <color theme="1"/>
        <rFont val="Calibri"/>
        <family val="2"/>
        <scheme val="minor"/>
      </rPr>
      <t xml:space="preserve">2 </t>
    </r>
    <r>
      <rPr>
        <b/>
        <sz val="11"/>
        <color theme="1"/>
        <rFont val="Calibri"/>
        <family val="2"/>
        <scheme val="minor"/>
      </rPr>
      <t>Emissions</t>
    </r>
  </si>
  <si>
    <r>
      <t>NO</t>
    </r>
    <r>
      <rPr>
        <b/>
        <vertAlign val="subscript"/>
        <sz val="11"/>
        <color theme="1"/>
        <rFont val="Calibri"/>
        <family val="2"/>
        <scheme val="minor"/>
      </rPr>
      <t xml:space="preserve">X </t>
    </r>
    <r>
      <rPr>
        <b/>
        <sz val="11"/>
        <color theme="1"/>
        <rFont val="Calibri"/>
        <family val="2"/>
        <scheme val="minor"/>
      </rPr>
      <t>Emissions</t>
    </r>
  </si>
  <si>
    <r>
      <t>Total NO</t>
    </r>
    <r>
      <rPr>
        <b/>
        <vertAlign val="subscript"/>
        <sz val="11"/>
        <color theme="1"/>
        <rFont val="Calibri"/>
        <family val="2"/>
        <scheme val="minor"/>
      </rPr>
      <t xml:space="preserve">X </t>
    </r>
    <r>
      <rPr>
        <b/>
        <sz val="11"/>
        <color theme="1"/>
        <rFont val="Calibri"/>
        <family val="2"/>
        <scheme val="minor"/>
      </rPr>
      <t>Emissions</t>
    </r>
  </si>
  <si>
    <t>Emissions Savings (relative to Reference Case)</t>
  </si>
  <si>
    <r>
      <t>CO</t>
    </r>
    <r>
      <rPr>
        <vertAlign val="subscript"/>
        <sz val="11"/>
        <color theme="1"/>
        <rFont val="Calibri"/>
        <family val="2"/>
        <scheme val="minor"/>
      </rPr>
      <t>2</t>
    </r>
  </si>
  <si>
    <r>
      <t>SO</t>
    </r>
    <r>
      <rPr>
        <vertAlign val="subscript"/>
        <sz val="11"/>
        <color theme="1"/>
        <rFont val="Calibri"/>
        <family val="2"/>
        <scheme val="minor"/>
      </rPr>
      <t>2</t>
    </r>
  </si>
  <si>
    <r>
      <t>NO</t>
    </r>
    <r>
      <rPr>
        <vertAlign val="subscript"/>
        <sz val="11"/>
        <color theme="1"/>
        <rFont val="Calibri"/>
        <family val="2"/>
        <scheme val="minor"/>
      </rPr>
      <t>X</t>
    </r>
  </si>
  <si>
    <r>
      <t>Equivalent CO</t>
    </r>
    <r>
      <rPr>
        <b/>
        <vertAlign val="subscript"/>
        <sz val="11"/>
        <color theme="1"/>
        <rFont val="Calibri"/>
        <family val="2"/>
        <scheme val="minor"/>
      </rPr>
      <t>2</t>
    </r>
    <r>
      <rPr>
        <b/>
        <sz val="11"/>
        <color theme="1"/>
        <rFont val="Calibri"/>
        <family val="2"/>
        <scheme val="minor"/>
      </rPr>
      <t xml:space="preserve"> Emissions </t>
    </r>
  </si>
  <si>
    <t>Cars</t>
  </si>
  <si>
    <t>US Average_Fossil</t>
  </si>
  <si>
    <t>Homes</t>
  </si>
  <si>
    <t>AK_Fossil</t>
  </si>
  <si>
    <t>$ amount</t>
  </si>
  <si>
    <t>AL_Fossil</t>
  </si>
  <si>
    <t>AR_Fossil</t>
  </si>
  <si>
    <t>Assumptions and Data Sources</t>
  </si>
  <si>
    <t>AZ_Fossil</t>
  </si>
  <si>
    <t>CA_Fossil</t>
  </si>
  <si>
    <t>Source</t>
  </si>
  <si>
    <t>Link</t>
  </si>
  <si>
    <t>CO_Fossil</t>
  </si>
  <si>
    <t>Average gross (higher) heating value of natural gas</t>
  </si>
  <si>
    <t>Btu/scf</t>
  </si>
  <si>
    <t>U.S. Environmental Protection Agency, AP 42, Fifth Edition, Volume I. Chapter 1: External Combustion Sources, Section 4. Natural Gas Combustion, Final Section, Section 1.4.1.</t>
  </si>
  <si>
    <t>http://www.epa.gov/ttn/chief/ap42/ch01/final/c01s04.pdf</t>
  </si>
  <si>
    <t>CT_Fossil</t>
  </si>
  <si>
    <r>
      <t>Natural Gas CO</t>
    </r>
    <r>
      <rPr>
        <vertAlign val="subscript"/>
        <sz val="10"/>
        <color theme="1"/>
        <rFont val="Calibri"/>
        <family val="2"/>
        <scheme val="minor"/>
      </rPr>
      <t>2</t>
    </r>
    <r>
      <rPr>
        <sz val="10"/>
        <color theme="1"/>
        <rFont val="Calibri"/>
        <family val="2"/>
        <scheme val="minor"/>
      </rPr>
      <t xml:space="preserve"> Emission Factor</t>
    </r>
  </si>
  <si>
    <r>
      <t>lb/10</t>
    </r>
    <r>
      <rPr>
        <vertAlign val="superscript"/>
        <sz val="10"/>
        <color theme="1"/>
        <rFont val="Calibri"/>
        <family val="2"/>
        <scheme val="minor"/>
      </rPr>
      <t>6</t>
    </r>
    <r>
      <rPr>
        <sz val="10"/>
        <color theme="1"/>
        <rFont val="Calibri"/>
        <family val="2"/>
        <scheme val="minor"/>
      </rPr>
      <t xml:space="preserve"> scf</t>
    </r>
  </si>
  <si>
    <t>U.S. Environmental Protection Agency, AP 42, Fifth Edition, Volume I. Chapter 1: External Combustion Sources, Section 4. Natural Gas Combustion, Final Section. Table 1.4-2</t>
  </si>
  <si>
    <t>DC_Fossil</t>
  </si>
  <si>
    <r>
      <t>Natural Gas SO</t>
    </r>
    <r>
      <rPr>
        <vertAlign val="subscript"/>
        <sz val="10"/>
        <color theme="1"/>
        <rFont val="Calibri"/>
        <family val="2"/>
        <scheme val="minor"/>
      </rPr>
      <t>2</t>
    </r>
    <r>
      <rPr>
        <sz val="10"/>
        <color theme="1"/>
        <rFont val="Calibri"/>
        <family val="2"/>
        <scheme val="minor"/>
      </rPr>
      <t xml:space="preserve"> Emission Factor</t>
    </r>
  </si>
  <si>
    <t>DE_Fossil</t>
  </si>
  <si>
    <r>
      <t>Natural Gas NO</t>
    </r>
    <r>
      <rPr>
        <vertAlign val="subscript"/>
        <sz val="10"/>
        <color theme="1"/>
        <rFont val="Calibri"/>
        <family val="2"/>
        <scheme val="minor"/>
      </rPr>
      <t>X</t>
    </r>
    <r>
      <rPr>
        <sz val="10"/>
        <color theme="1"/>
        <rFont val="Calibri"/>
        <family val="2"/>
        <scheme val="minor"/>
      </rPr>
      <t xml:space="preserve"> Emission Factor</t>
    </r>
  </si>
  <si>
    <t>U.S. Environmental Protection Agency, AP 42, Fifth Edition, Volume I. Chapter 1: External Combustion Sources, Section 4. Natural Gas Combustion, Background Document, Table 3.4-1.</t>
  </si>
  <si>
    <t>http://www.epa.gov/ttn/chief/ap42/ch01/bgdocs/b01s04.pdf</t>
  </si>
  <si>
    <t>FL_Fossil</t>
  </si>
  <si>
    <t>Propane Heat Content</t>
  </si>
  <si>
    <r>
      <t>MMBtu/10</t>
    </r>
    <r>
      <rPr>
        <vertAlign val="superscript"/>
        <sz val="10"/>
        <color theme="1"/>
        <rFont val="Calibri"/>
        <family val="2"/>
        <scheme val="minor"/>
      </rPr>
      <t>3</t>
    </r>
    <r>
      <rPr>
        <sz val="10"/>
        <color theme="1"/>
        <rFont val="Calibri"/>
        <family val="2"/>
        <scheme val="minor"/>
      </rPr>
      <t xml:space="preserve"> gal</t>
    </r>
  </si>
  <si>
    <t>U.S. Environmental Protection Agency, AP 42, Fifth Edition, Volume I. Chapter 1: External Combustion Sources, Section 5. Liquefied Petroleum Gas Combustion, Final Document, Table 1.5-1.</t>
  </si>
  <si>
    <t>http://www.epa.gov/ttn/chief/ap42/ch01/final/c01s05.pdf</t>
  </si>
  <si>
    <t>GA_Fossil</t>
  </si>
  <si>
    <r>
      <t>Propane CO</t>
    </r>
    <r>
      <rPr>
        <vertAlign val="subscript"/>
        <sz val="10"/>
        <color theme="1"/>
        <rFont val="Calibri"/>
        <family val="2"/>
        <scheme val="minor"/>
      </rPr>
      <t>2</t>
    </r>
    <r>
      <rPr>
        <sz val="10"/>
        <color theme="1"/>
        <rFont val="Calibri"/>
        <family val="2"/>
        <scheme val="minor"/>
      </rPr>
      <t xml:space="preserve"> Emission Factor</t>
    </r>
  </si>
  <si>
    <r>
      <t>lb/10</t>
    </r>
    <r>
      <rPr>
        <vertAlign val="superscript"/>
        <sz val="10"/>
        <color theme="1"/>
        <rFont val="Calibri"/>
        <family val="2"/>
        <scheme val="minor"/>
      </rPr>
      <t>3</t>
    </r>
    <r>
      <rPr>
        <sz val="10"/>
        <color theme="1"/>
        <rFont val="Calibri"/>
        <family val="2"/>
        <scheme val="minor"/>
      </rPr>
      <t xml:space="preserve"> gal</t>
    </r>
  </si>
  <si>
    <t>HI_Fossil</t>
  </si>
  <si>
    <r>
      <t>Propane SO</t>
    </r>
    <r>
      <rPr>
        <vertAlign val="subscript"/>
        <sz val="10"/>
        <color theme="1"/>
        <rFont val="Calibri"/>
        <family val="2"/>
        <scheme val="minor"/>
      </rPr>
      <t>2</t>
    </r>
    <r>
      <rPr>
        <sz val="10"/>
        <color theme="1"/>
        <rFont val="Calibri"/>
        <family val="2"/>
        <scheme val="minor"/>
      </rPr>
      <t xml:space="preserve"> Emission Factor</t>
    </r>
  </si>
  <si>
    <t>IA_Fossil</t>
  </si>
  <si>
    <r>
      <t>Propane NO</t>
    </r>
    <r>
      <rPr>
        <vertAlign val="subscript"/>
        <sz val="10"/>
        <color theme="1"/>
        <rFont val="Calibri"/>
        <family val="2"/>
        <scheme val="minor"/>
      </rPr>
      <t>X</t>
    </r>
    <r>
      <rPr>
        <sz val="10"/>
        <color theme="1"/>
        <rFont val="Calibri"/>
        <family val="2"/>
        <scheme val="minor"/>
      </rPr>
      <t xml:space="preserve"> Emission Factor</t>
    </r>
  </si>
  <si>
    <t>ID_Fossil</t>
  </si>
  <si>
    <t>Heating Oil (No. 2) Heat Content</t>
  </si>
  <si>
    <t>U.S. Environmental Protection Agency, AP 42, Fifth Edition, Volume I. Chapter 1: External Combustion Sources, Section 3. Fuel Oil Combustion, Background Document.</t>
  </si>
  <si>
    <t>http://www.epa.gov/ttn/chief/ap42/ch01/bgdocs/b01s03.pdf</t>
  </si>
  <si>
    <t>IL_Fossil</t>
  </si>
  <si>
    <r>
      <t>Heating Oil (No. 2) CO</t>
    </r>
    <r>
      <rPr>
        <vertAlign val="subscript"/>
        <sz val="10"/>
        <color theme="1"/>
        <rFont val="Calibri"/>
        <family val="2"/>
        <scheme val="minor"/>
      </rPr>
      <t>2</t>
    </r>
    <r>
      <rPr>
        <sz val="10"/>
        <color theme="1"/>
        <rFont val="Calibri"/>
        <family val="2"/>
        <scheme val="minor"/>
      </rPr>
      <t xml:space="preserve"> Emission Factor</t>
    </r>
  </si>
  <si>
    <t>U.S. Environmental Protection Agency, AP 42, Fifth Edition, Volume I. Chapter 1: External Combustion Sources, Section 3. Fuel Oil Combustion, Background Document. Table 6.</t>
  </si>
  <si>
    <t>IN_Fossil</t>
  </si>
  <si>
    <r>
      <t>Heating Oil (No. 2) SO</t>
    </r>
    <r>
      <rPr>
        <vertAlign val="subscript"/>
        <sz val="10"/>
        <color theme="1"/>
        <rFont val="Calibri"/>
        <family val="2"/>
        <scheme val="minor"/>
      </rPr>
      <t>2</t>
    </r>
    <r>
      <rPr>
        <sz val="10"/>
        <color theme="1"/>
        <rFont val="Calibri"/>
        <family val="2"/>
        <scheme val="minor"/>
      </rPr>
      <t xml:space="preserve"> Emission Factor</t>
    </r>
  </si>
  <si>
    <t>U.S. Environmental Protection Agency, AP 42, Fifth Edition, Volume I. Chapter 1: External Combustion Sources, Section 3. Fuel Oil Combustion, Final Document. Table 1.3-1</t>
  </si>
  <si>
    <t>KS_Fossil</t>
  </si>
  <si>
    <r>
      <t>Heating Oil (No. 2) NO</t>
    </r>
    <r>
      <rPr>
        <vertAlign val="subscript"/>
        <sz val="10"/>
        <color theme="1"/>
        <rFont val="Calibri"/>
        <family val="2"/>
        <scheme val="minor"/>
      </rPr>
      <t>X</t>
    </r>
    <r>
      <rPr>
        <sz val="10"/>
        <color theme="1"/>
        <rFont val="Calibri"/>
        <family val="2"/>
        <scheme val="minor"/>
      </rPr>
      <t xml:space="preserve"> Emission Factor</t>
    </r>
  </si>
  <si>
    <t>U.S. Environmental Protection Agency, AP 42, Fifth Edition, Volume I. Chapter 1: External Combustion Sources, Section 3. Fuel Oil Combustion, Background Document. Table 2.</t>
  </si>
  <si>
    <t>KY_Fossil</t>
  </si>
  <si>
    <t>U.S. Transmission and Distribution Electricity Losses</t>
  </si>
  <si>
    <t>Percent</t>
  </si>
  <si>
    <t>U.S. Energy Information Administration, Frequently Asked Questions, "How much electricity is lost in transmission and distribution in the United States?"</t>
  </si>
  <si>
    <t>http://www.eia.gov/tools/faqs/faq.cfm?id=105&amp;t=3</t>
  </si>
  <si>
    <t>LA_Fossil</t>
  </si>
  <si>
    <r>
      <t>Metric Tons of CO</t>
    </r>
    <r>
      <rPr>
        <vertAlign val="subscript"/>
        <sz val="10"/>
        <color theme="1"/>
        <rFont val="Calibri"/>
        <family val="2"/>
        <scheme val="minor"/>
      </rPr>
      <t>2</t>
    </r>
    <r>
      <rPr>
        <sz val="10"/>
        <color theme="1"/>
        <rFont val="Calibri"/>
        <family val="2"/>
        <scheme val="minor"/>
      </rPr>
      <t>e per passenger vehicle per year</t>
    </r>
  </si>
  <si>
    <t>tonnes</t>
  </si>
  <si>
    <t>U.S. Environmental Protection Agency, Greenhouse Gas Equivalencies Calculator, Calculations and References, Passenger Vehicles per Year</t>
  </si>
  <si>
    <t>https://www.epa.gov/energy/ghg-equivalencies-calculator-calculations-and-references</t>
  </si>
  <si>
    <t>MA_Fossil</t>
  </si>
  <si>
    <r>
      <t>Metric Tons of CO</t>
    </r>
    <r>
      <rPr>
        <vertAlign val="subscript"/>
        <sz val="10"/>
        <color theme="1"/>
        <rFont val="Calibri"/>
        <family val="2"/>
        <scheme val="minor"/>
      </rPr>
      <t>2</t>
    </r>
    <r>
      <rPr>
        <sz val="10"/>
        <color theme="1"/>
        <rFont val="Calibri"/>
        <family val="2"/>
        <scheme val="minor"/>
      </rPr>
      <t xml:space="preserve"> per home electricity usage per year</t>
    </r>
  </si>
  <si>
    <t>U.S. Environmental Protection Agency, Greenhouse Gas Equivalencies Calculator, Calculations and References, Home Electricity Use</t>
  </si>
  <si>
    <t>MD_Fossil</t>
  </si>
  <si>
    <r>
      <t>U.S. Emissions Data (CO</t>
    </r>
    <r>
      <rPr>
        <vertAlign val="subscript"/>
        <sz val="10"/>
        <color theme="1"/>
        <rFont val="Calibri"/>
        <family val="2"/>
        <scheme val="minor"/>
      </rPr>
      <t>2</t>
    </r>
    <r>
      <rPr>
        <sz val="10"/>
        <color theme="1"/>
        <rFont val="Calibri"/>
        <family val="2"/>
        <scheme val="minor"/>
      </rPr>
      <t>, SO</t>
    </r>
    <r>
      <rPr>
        <vertAlign val="subscript"/>
        <sz val="10"/>
        <color theme="1"/>
        <rFont val="Calibri"/>
        <family val="2"/>
        <scheme val="minor"/>
      </rPr>
      <t>2</t>
    </r>
    <r>
      <rPr>
        <sz val="10"/>
        <color theme="1"/>
        <rFont val="Calibri"/>
        <family val="2"/>
        <scheme val="minor"/>
      </rPr>
      <t>, NO</t>
    </r>
    <r>
      <rPr>
        <vertAlign val="subscript"/>
        <sz val="10"/>
        <color theme="1"/>
        <rFont val="Calibri"/>
        <family val="2"/>
        <scheme val="minor"/>
      </rPr>
      <t>X</t>
    </r>
    <r>
      <rPr>
        <sz val="10"/>
        <color theme="1"/>
        <rFont val="Calibri"/>
        <family val="2"/>
        <scheme val="minor"/>
      </rPr>
      <t>)</t>
    </r>
  </si>
  <si>
    <t>---</t>
  </si>
  <si>
    <t>eGRID2023 (2021 data)</t>
  </si>
  <si>
    <t>https://www.epa.gov/energy/emissions-generation-resource-integrated-database-egrid</t>
  </si>
  <si>
    <t>ME_Fossil</t>
  </si>
  <si>
    <r>
      <t>Canada Emissions Data (CO</t>
    </r>
    <r>
      <rPr>
        <vertAlign val="subscript"/>
        <sz val="10"/>
        <color theme="1"/>
        <rFont val="Calibri"/>
        <family val="2"/>
        <scheme val="minor"/>
      </rPr>
      <t>2</t>
    </r>
    <r>
      <rPr>
        <sz val="10"/>
        <color theme="1"/>
        <rFont val="Calibri"/>
        <family val="2"/>
        <scheme val="minor"/>
      </rPr>
      <t>)</t>
    </r>
  </si>
  <si>
    <t>Canada's Official Greenhouse Gas Inventory, 4/14/22</t>
  </si>
  <si>
    <t xml:space="preserve">https://data.ec.gc.ca/data/substances/monitor/canada-s-official-greenhouse-gas-inventory/C-Tables-Electricity-Canada-Provinces-Territories/EN_Electricity_Can_Prov_Terr.xlsx </t>
  </si>
  <si>
    <t>MI_Fossil</t>
  </si>
  <si>
    <r>
      <t>Canada Emissions Data (SO</t>
    </r>
    <r>
      <rPr>
        <vertAlign val="subscript"/>
        <sz val="10"/>
        <color theme="1"/>
        <rFont val="Calibri"/>
        <family val="2"/>
        <scheme val="minor"/>
      </rPr>
      <t>2</t>
    </r>
    <r>
      <rPr>
        <sz val="10"/>
        <color theme="1"/>
        <rFont val="Calibri"/>
        <family val="2"/>
        <scheme val="minor"/>
      </rPr>
      <t>, NO</t>
    </r>
    <r>
      <rPr>
        <vertAlign val="subscript"/>
        <sz val="10"/>
        <color theme="1"/>
        <rFont val="Calibri"/>
        <family val="2"/>
        <scheme val="minor"/>
      </rPr>
      <t>X</t>
    </r>
    <r>
      <rPr>
        <sz val="10"/>
        <color theme="1"/>
        <rFont val="Calibri"/>
        <family val="2"/>
        <scheme val="minor"/>
      </rPr>
      <t>)</t>
    </r>
  </si>
  <si>
    <t>National Pollutant Release Inventory (NPRI) Downloadable Datasets, 2011 Air Pollutant Emission Summaries and Trends. 2011 Emissions from Electric Power Generation (Utilities)</t>
  </si>
  <si>
    <t>MN_Fossil</t>
  </si>
  <si>
    <t>MO_Fossil</t>
  </si>
  <si>
    <t>Calculations</t>
  </si>
  <si>
    <t>MS_Fossil</t>
  </si>
  <si>
    <t>Florida Reliability Coordinating Council</t>
  </si>
  <si>
    <t>MT_Fossil</t>
  </si>
  <si>
    <t>NC_Fossil</t>
  </si>
  <si>
    <t>ND_Fossil</t>
  </si>
  <si>
    <t>No NERC region</t>
  </si>
  <si>
    <t>NE_Fossil</t>
  </si>
  <si>
    <t>kWh</t>
  </si>
  <si>
    <t>NH_Fossil</t>
  </si>
  <si>
    <t>MMBtu</t>
  </si>
  <si>
    <t>NJ_Fossil</t>
  </si>
  <si>
    <t>Annual Propane Consumption (gal)</t>
  </si>
  <si>
    <t>gal</t>
  </si>
  <si>
    <t>NM_Fossil</t>
  </si>
  <si>
    <t>Southwest Power Pool</t>
  </si>
  <si>
    <t>Annual Heating Oil Consumption (gal)</t>
  </si>
  <si>
    <t>NV_Fossil</t>
  </si>
  <si>
    <t>NY_Fossil</t>
  </si>
  <si>
    <t>OH_Fossil</t>
  </si>
  <si>
    <t>State Abbrev</t>
  </si>
  <si>
    <t>OK_Fossil</t>
  </si>
  <si>
    <t>U.S. State Selected?</t>
  </si>
  <si>
    <t>Y/N</t>
  </si>
  <si>
    <t>*this will always be no, but the emissions are always based on eGrid subregion</t>
  </si>
  <si>
    <t>OR_Fossil</t>
  </si>
  <si>
    <t>U.S. Fossil Emissions Profile?</t>
  </si>
  <si>
    <t>*this will always be no and is likely not necessary</t>
  </si>
  <si>
    <t>PA_Fossil</t>
  </si>
  <si>
    <t>Heat Rate</t>
  </si>
  <si>
    <t>Btu/kWh</t>
  </si>
  <si>
    <t>RI_Fossil</t>
  </si>
  <si>
    <r>
      <t>Electricity CO</t>
    </r>
    <r>
      <rPr>
        <vertAlign val="subscript"/>
        <sz val="11"/>
        <color theme="1"/>
        <rFont val="Calibri"/>
        <family val="2"/>
        <scheme val="minor"/>
      </rPr>
      <t>2</t>
    </r>
    <r>
      <rPr>
        <sz val="10"/>
        <rFont val="Arial"/>
        <family val="2"/>
      </rPr>
      <t xml:space="preserve"> Emission Rate</t>
    </r>
  </si>
  <si>
    <t>SC_Fossil</t>
  </si>
  <si>
    <r>
      <t>Electricity SO</t>
    </r>
    <r>
      <rPr>
        <vertAlign val="subscript"/>
        <sz val="11"/>
        <color theme="1"/>
        <rFont val="Calibri"/>
        <family val="2"/>
        <scheme val="minor"/>
      </rPr>
      <t>2</t>
    </r>
    <r>
      <rPr>
        <sz val="10"/>
        <rFont val="Arial"/>
        <family val="2"/>
      </rPr>
      <t xml:space="preserve"> Emission Rate</t>
    </r>
  </si>
  <si>
    <t>SD_Fossil</t>
  </si>
  <si>
    <r>
      <t>Electricity NO</t>
    </r>
    <r>
      <rPr>
        <vertAlign val="subscript"/>
        <sz val="11"/>
        <color theme="1"/>
        <rFont val="Calibri"/>
        <family val="2"/>
        <scheme val="minor"/>
      </rPr>
      <t>X</t>
    </r>
    <r>
      <rPr>
        <sz val="10"/>
        <rFont val="Arial"/>
        <family val="2"/>
      </rPr>
      <t xml:space="preserve"> Emission Rate</t>
    </r>
  </si>
  <si>
    <t>TN_Fossil</t>
  </si>
  <si>
    <r>
      <t>Natural Gas CO</t>
    </r>
    <r>
      <rPr>
        <vertAlign val="subscript"/>
        <sz val="11"/>
        <color theme="1"/>
        <rFont val="Calibri"/>
        <family val="2"/>
        <scheme val="minor"/>
      </rPr>
      <t>2</t>
    </r>
    <r>
      <rPr>
        <sz val="10"/>
        <rFont val="Arial"/>
        <family val="2"/>
      </rPr>
      <t xml:space="preserve"> Emission Rate</t>
    </r>
  </si>
  <si>
    <t>TX_Fossil</t>
  </si>
  <si>
    <r>
      <t>Natural Gas SO</t>
    </r>
    <r>
      <rPr>
        <vertAlign val="subscript"/>
        <sz val="11"/>
        <color theme="1"/>
        <rFont val="Calibri"/>
        <family val="2"/>
        <scheme val="minor"/>
      </rPr>
      <t>2</t>
    </r>
    <r>
      <rPr>
        <sz val="10"/>
        <rFont val="Arial"/>
        <family val="2"/>
      </rPr>
      <t xml:space="preserve"> Emission Rate</t>
    </r>
  </si>
  <si>
    <t>UT_Fossil</t>
  </si>
  <si>
    <r>
      <t>Natural Gas NO</t>
    </r>
    <r>
      <rPr>
        <vertAlign val="subscript"/>
        <sz val="11"/>
        <color theme="1"/>
        <rFont val="Calibri"/>
        <family val="2"/>
        <scheme val="minor"/>
      </rPr>
      <t>X</t>
    </r>
    <r>
      <rPr>
        <sz val="10"/>
        <rFont val="Arial"/>
        <family val="2"/>
      </rPr>
      <t xml:space="preserve"> Emission Rate</t>
    </r>
  </si>
  <si>
    <t>VA_Fossil</t>
  </si>
  <si>
    <r>
      <t>Propane CO</t>
    </r>
    <r>
      <rPr>
        <vertAlign val="subscript"/>
        <sz val="11"/>
        <color theme="1"/>
        <rFont val="Calibri"/>
        <family val="2"/>
        <scheme val="minor"/>
      </rPr>
      <t>2</t>
    </r>
    <r>
      <rPr>
        <sz val="10"/>
        <rFont val="Arial"/>
        <family val="2"/>
      </rPr>
      <t xml:space="preserve"> Emission Rate</t>
    </r>
  </si>
  <si>
    <r>
      <t>lb/10</t>
    </r>
    <r>
      <rPr>
        <vertAlign val="superscript"/>
        <sz val="11"/>
        <color theme="1"/>
        <rFont val="Calibri"/>
        <family val="2"/>
        <scheme val="minor"/>
      </rPr>
      <t>3</t>
    </r>
    <r>
      <rPr>
        <sz val="10"/>
        <rFont val="Arial"/>
        <family val="2"/>
      </rPr>
      <t xml:space="preserve"> gal</t>
    </r>
  </si>
  <si>
    <t>VT_Fossil</t>
  </si>
  <si>
    <r>
      <t>Propane SO</t>
    </r>
    <r>
      <rPr>
        <vertAlign val="subscript"/>
        <sz val="11"/>
        <color theme="1"/>
        <rFont val="Calibri"/>
        <family val="2"/>
        <scheme val="minor"/>
      </rPr>
      <t>2</t>
    </r>
    <r>
      <rPr>
        <sz val="10"/>
        <rFont val="Arial"/>
        <family val="2"/>
      </rPr>
      <t xml:space="preserve"> Emission Rate</t>
    </r>
  </si>
  <si>
    <t>WA_Fossil</t>
  </si>
  <si>
    <r>
      <t>Propane NO</t>
    </r>
    <r>
      <rPr>
        <vertAlign val="subscript"/>
        <sz val="11"/>
        <color theme="1"/>
        <rFont val="Calibri"/>
        <family val="2"/>
        <scheme val="minor"/>
      </rPr>
      <t>X</t>
    </r>
    <r>
      <rPr>
        <sz val="10"/>
        <rFont val="Arial"/>
        <family val="2"/>
      </rPr>
      <t xml:space="preserve"> Emission Rate</t>
    </r>
  </si>
  <si>
    <t>WI_Fossil</t>
  </si>
  <si>
    <r>
      <t>Heating Oil CO</t>
    </r>
    <r>
      <rPr>
        <vertAlign val="subscript"/>
        <sz val="11"/>
        <color theme="1"/>
        <rFont val="Calibri"/>
        <family val="2"/>
        <scheme val="minor"/>
      </rPr>
      <t>2</t>
    </r>
    <r>
      <rPr>
        <sz val="10"/>
        <rFont val="Arial"/>
        <family val="2"/>
      </rPr>
      <t xml:space="preserve"> Emission Rate</t>
    </r>
  </si>
  <si>
    <t>WV_Fossil</t>
  </si>
  <si>
    <r>
      <t>Heating Oil SO</t>
    </r>
    <r>
      <rPr>
        <vertAlign val="subscript"/>
        <sz val="11"/>
        <color theme="1"/>
        <rFont val="Calibri"/>
        <family val="2"/>
        <scheme val="minor"/>
      </rPr>
      <t>2</t>
    </r>
    <r>
      <rPr>
        <sz val="10"/>
        <rFont val="Arial"/>
        <family val="2"/>
      </rPr>
      <t xml:space="preserve"> Emission Rate</t>
    </r>
  </si>
  <si>
    <t>WY_Fossil</t>
  </si>
  <si>
    <r>
      <t>Heating Oil NO</t>
    </r>
    <r>
      <rPr>
        <vertAlign val="subscript"/>
        <sz val="11"/>
        <color theme="1"/>
        <rFont val="Calibri"/>
        <family val="2"/>
        <scheme val="minor"/>
      </rPr>
      <t>X</t>
    </r>
    <r>
      <rPr>
        <sz val="10"/>
        <rFont val="Arial"/>
        <family val="2"/>
      </rPr>
      <t xml:space="preserve"> Emission Rate</t>
    </r>
  </si>
  <si>
    <t>Electricity Consumption</t>
  </si>
  <si>
    <t>Electricity CO2 Emissions</t>
  </si>
  <si>
    <t>lb</t>
  </si>
  <si>
    <t>Electricity SO2 Emissions</t>
  </si>
  <si>
    <t>Electricity NOX Emissions</t>
  </si>
  <si>
    <t>Annual Natural Gas Consumption (MMBtu)</t>
  </si>
  <si>
    <t>Natural Gas CO2 Emissions</t>
  </si>
  <si>
    <t>Natural Gas SO2 Emissions</t>
  </si>
  <si>
    <t>Natural Gas NOX Emissions</t>
  </si>
  <si>
    <t>Propane CO2 Emissions</t>
  </si>
  <si>
    <t>Propane SO2 Emissions</t>
  </si>
  <si>
    <t>Propane NOX Emissions</t>
  </si>
  <si>
    <t>Heating Oil Consumption</t>
  </si>
  <si>
    <t>Heating Oil CO2 Emissions</t>
  </si>
  <si>
    <t>*NPCC Long Isalnd has no cities in the lists tab</t>
  </si>
  <si>
    <t>Heating Oil SO2 Emissions</t>
  </si>
  <si>
    <t>Heating Oil NOX Emissions</t>
  </si>
  <si>
    <t>Total CO2 Emissions</t>
  </si>
  <si>
    <t>Total SO2 Emissions</t>
  </si>
  <si>
    <t>Total NOX Emissions</t>
  </si>
  <si>
    <t>CO2 Emission Savings</t>
  </si>
  <si>
    <t>SO2 Emission Savings</t>
  </si>
  <si>
    <t>NOX Emission Savings</t>
  </si>
  <si>
    <t>CO2 Emissions Delta</t>
  </si>
  <si>
    <t>Cars off Highway (CO2 Equivalent)</t>
  </si>
  <si>
    <t>cars</t>
  </si>
  <si>
    <t>Home Electricity Usage (CO2 Equivalent)</t>
  </si>
  <si>
    <t>homes</t>
  </si>
  <si>
    <t>ASCC Alaska Grid_Fossil</t>
  </si>
  <si>
    <t>ASCC Miscellaneous_Fossil</t>
  </si>
  <si>
    <t>WECC Southwest_Fossil</t>
  </si>
  <si>
    <t>WECC California_Fossil</t>
  </si>
  <si>
    <t>ERCOT All_Fossil</t>
  </si>
  <si>
    <t>FRCC All_Fossil</t>
  </si>
  <si>
    <t>HICC Miscellaneous_Fossil</t>
  </si>
  <si>
    <t>HICC Oahu_Fossil</t>
  </si>
  <si>
    <t>MRO East_Fossil</t>
  </si>
  <si>
    <t>MRO West_Fossil</t>
  </si>
  <si>
    <t>NPCC New England_Fossil</t>
  </si>
  <si>
    <t>WECC Northwest_Fossil</t>
  </si>
  <si>
    <t>NPCC NYC/Westchester_Fossil</t>
  </si>
  <si>
    <t>NPCC Long Island_Fossil</t>
  </si>
  <si>
    <t>NPCC Upstate NY_Fossil</t>
  </si>
  <si>
    <t>RFC East_Fossil</t>
  </si>
  <si>
    <t>RFC Michigan_Fossil</t>
  </si>
  <si>
    <t>RFC West_Fossil</t>
  </si>
  <si>
    <t>WECC Rockies_Fossil</t>
  </si>
  <si>
    <t>SPP North_Fossil</t>
  </si>
  <si>
    <t>SPP South_Fossil</t>
  </si>
  <si>
    <t>SERC Mississippi Valley_Fossil</t>
  </si>
  <si>
    <t>SERC Midwest_Fossil</t>
  </si>
  <si>
    <t>SERC South_Fossil</t>
  </si>
  <si>
    <t>Map of NERC Regions</t>
  </si>
  <si>
    <t>SERC Tennessee Valley_Fossil</t>
  </si>
  <si>
    <t>SERC Virginia/Carolina_Fossil</t>
  </si>
  <si>
    <t>Alaska Systems Coordinating Council_Fossil</t>
  </si>
  <si>
    <t>Hawaiian Islands Coordinating Council_Fossil</t>
  </si>
  <si>
    <t>Midwest Reliability Organization_Fossil</t>
  </si>
  <si>
    <t>Northeast Power Coordinating Council_Fossil</t>
  </si>
  <si>
    <t>Reliability First Corporation_Fossil</t>
  </si>
  <si>
    <t>SERC Reliability Corporation_Fossil</t>
  </si>
  <si>
    <t>Texas Regional Entity_Fossil</t>
  </si>
  <si>
    <t>Western Electricity Coordinating Council_Fossil</t>
  </si>
  <si>
    <t>**Ontario #'s replaced to include Marginal Power Mix as provided by Enbridge Gas on 8/14/16, then updated NB and NS per Enbridge on 9/13/16</t>
  </si>
  <si>
    <t>Orig Ontario All source</t>
  </si>
  <si>
    <t>Orig New Brunswick</t>
  </si>
  <si>
    <t>1582.9 (no change)</t>
  </si>
  <si>
    <t>Changed</t>
  </si>
  <si>
    <t>Orig formulas &gt;&gt;&gt;&gt; (alberta example)</t>
  </si>
  <si>
    <t>…for other provinces</t>
  </si>
  <si>
    <t>** update cels F25 and E26 for notes on marginal mix</t>
  </si>
  <si>
    <t>Displaced Electricity</t>
  </si>
  <si>
    <t>*need to keep for HSPF and heating load</t>
  </si>
  <si>
    <t>Residential Energy Cost &amp; Emissions Tool – 2025 Methodology</t>
  </si>
  <si>
    <t>Old tool:</t>
  </si>
  <si>
    <t>https://esc.energydepot.com/user-information/home</t>
  </si>
  <si>
    <t>Default Category Axis</t>
  </si>
  <si>
    <t/>
  </si>
  <si>
    <t>Square Footage of House (between 0 and 6,000 sqft)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</si>
</sst>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44" formatCode="_(&quot;$&quot;* #,##0.00_);_(&quot;$&quot;* \(#,##0.00\);_(&quot;$&quot;* &quot;-&quot;??_);_(@_)"/>
    <numFmt numFmtId="43" formatCode="_(* #,##0.00_);_(* \(#,##0.00\);_(* &quot;-&quot;??_);_(@_)"/>
    <numFmt numFmtId="164" formatCode="_(* #,##0.0_);_(* \(#,##0.0\);_(* &quot;-&quot;??_);_(@_)"/>
    <numFmt numFmtId="165" formatCode="_(* #,##0_);_(* \(#,##0\);_(* &quot;-&quot;??_);_(@_)"/>
    <numFmt numFmtId="166" formatCode="0.0%"/>
    <numFmt numFmtId="167" formatCode="0.0000%"/>
    <numFmt numFmtId="168" formatCode="_(* #,##0.0000_);_(* \(#,##0.0000\);_(* &quot;-&quot;????_);_(@_)"/>
    <numFmt numFmtId="169" formatCode="_(* #,##0.000_);_(* \(#,##0.000\);_(* &quot;-&quot;??_);_(@_)"/>
    <numFmt numFmtId="170" formatCode="_(* #,##0.0000_);_(* \(#,##0.0000\);_(* &quot;-&quot;??_);_(@_)"/>
    <numFmt numFmtId="171" formatCode="_(* #,##0.00000_);_(* \(#,##0.00000\);_(* &quot;-&quot;??_);_(@_)"/>
    <numFmt numFmtId="172" formatCode="0.0"/>
    <numFmt numFmtId="173" formatCode="0.000"/>
    <numFmt numFmtId="174" formatCode="0.0000"/>
    <numFmt numFmtId="175" formatCode="#,##0.0"/>
    <numFmt numFmtId="176" formatCode="#,##0.00000"/>
    <numFmt numFmtId="177" formatCode="#,##0.0000"/>
    <numFmt numFmtId="178" formatCode="&quot;$&quot;#,##0.00"/>
    <numFmt numFmtId="179" formatCode="_(&quot;$&quot;* #,##0_);_(&quot;$&quot;* \(#,##0\);_(&quot;$&quot;* &quot;-&quot;??_);_(@_)"/>
  </numFmts>
  <fonts count="64" x14ac:knownFonts="1">
    <font>
      <sz val="10"/>
      <name val="Arial"/>
    </font>
    <font>
      <sz val="10"/>
      <name val="Arial"/>
      <family val="2"/>
    </font>
    <font>
      <b/>
      <sz val="10"/>
      <name val="Arial"/>
      <family val="2"/>
    </font>
    <font>
      <u/>
      <sz val="10"/>
      <color indexed="12"/>
      <name val="Arial"/>
      <family val="2"/>
    </font>
    <font>
      <b/>
      <i/>
      <sz val="20"/>
      <color indexed="58"/>
      <name val="Arial"/>
      <family val="2"/>
    </font>
    <font>
      <sz val="20"/>
      <color indexed="58"/>
      <name val="Arial"/>
      <family val="2"/>
    </font>
    <font>
      <b/>
      <i/>
      <u/>
      <sz val="14"/>
      <name val="Arial"/>
      <family val="2"/>
    </font>
    <font>
      <b/>
      <i/>
      <u/>
      <sz val="10"/>
      <name val="Arial"/>
      <family val="2"/>
    </font>
    <font>
      <sz val="10"/>
      <name val="Arial"/>
      <family val="2"/>
    </font>
    <font>
      <sz val="10"/>
      <color indexed="12"/>
      <name val="Arial"/>
      <family val="2"/>
    </font>
    <font>
      <b/>
      <sz val="10"/>
      <color indexed="12"/>
      <name val="Arial"/>
      <family val="2"/>
    </font>
    <font>
      <b/>
      <sz val="8"/>
      <name val="Arial"/>
      <family val="2"/>
    </font>
    <font>
      <b/>
      <i/>
      <u/>
      <sz val="8"/>
      <name val="Arial"/>
      <family val="2"/>
    </font>
    <font>
      <sz val="8"/>
      <name val="Arial"/>
      <family val="2"/>
    </font>
    <font>
      <i/>
      <sz val="8"/>
      <name val="Arial"/>
      <family val="2"/>
    </font>
    <font>
      <b/>
      <u/>
      <sz val="10"/>
      <name val="Arial"/>
      <family val="2"/>
    </font>
    <font>
      <sz val="10"/>
      <color indexed="42"/>
      <name val="Arial"/>
      <family val="2"/>
    </font>
    <font>
      <sz val="10"/>
      <color indexed="9"/>
      <name val="Arial"/>
      <family val="2"/>
    </font>
    <font>
      <i/>
      <sz val="10"/>
      <name val="Arial"/>
      <family val="2"/>
    </font>
    <font>
      <sz val="12"/>
      <name val="Times New Roman"/>
      <family val="1"/>
    </font>
    <font>
      <b/>
      <sz val="8"/>
      <color indexed="81"/>
      <name val="Tahoma"/>
      <family val="2"/>
    </font>
    <font>
      <sz val="8"/>
      <name val="Verdana"/>
      <family val="2"/>
    </font>
    <font>
      <sz val="11"/>
      <name val="Calibri"/>
      <family val="2"/>
    </font>
    <font>
      <sz val="8"/>
      <name val="Arial"/>
      <family val="2"/>
    </font>
    <font>
      <sz val="8"/>
      <color indexed="81"/>
      <name val="Tahoma"/>
      <family val="2"/>
    </font>
    <font>
      <b/>
      <u/>
      <vertAlign val="subscript"/>
      <sz val="10"/>
      <name val="Arial"/>
      <family val="2"/>
    </font>
    <font>
      <b/>
      <sz val="12"/>
      <name val="Arial"/>
      <family val="2"/>
    </font>
    <font>
      <b/>
      <vertAlign val="subscript"/>
      <sz val="10"/>
      <name val="Arial"/>
      <family val="2"/>
    </font>
    <font>
      <vertAlign val="subscript"/>
      <sz val="10"/>
      <name val="Arial"/>
      <family val="2"/>
    </font>
    <font>
      <sz val="11"/>
      <color theme="1"/>
      <name val="Calibri"/>
      <family val="2"/>
      <scheme val="minor"/>
    </font>
    <font>
      <b/>
      <sz val="11"/>
      <color theme="1"/>
      <name val="Calibri"/>
      <family val="2"/>
      <scheme val="minor"/>
    </font>
    <font>
      <sz val="11"/>
      <color rgb="FFFF0000"/>
      <name val="Calibri"/>
      <family val="2"/>
      <scheme val="minor"/>
    </font>
    <font>
      <b/>
      <sz val="10"/>
      <color rgb="FFFF0000"/>
      <name val="Arial"/>
      <family val="2"/>
    </font>
    <font>
      <b/>
      <i/>
      <sz val="10"/>
      <name val="Arial"/>
      <family val="2"/>
    </font>
    <font>
      <b/>
      <i/>
      <sz val="14"/>
      <name val="Arial"/>
      <family val="2"/>
    </font>
    <font>
      <b/>
      <sz val="22"/>
      <color theme="1"/>
      <name val="Calibri"/>
      <family val="2"/>
      <scheme val="minor"/>
    </font>
    <font>
      <b/>
      <sz val="12"/>
      <color theme="1"/>
      <name val="Calibri"/>
      <family val="2"/>
      <scheme val="minor"/>
    </font>
    <font>
      <vertAlign val="subscript"/>
      <sz val="11"/>
      <color theme="1"/>
      <name val="Calibri"/>
      <family val="2"/>
      <scheme val="minor"/>
    </font>
    <font>
      <sz val="11"/>
      <name val="Calibri"/>
      <family val="2"/>
      <scheme val="minor"/>
    </font>
    <font>
      <vertAlign val="subscript"/>
      <sz val="11"/>
      <name val="Calibri"/>
      <family val="2"/>
      <scheme val="minor"/>
    </font>
    <font>
      <vertAlign val="superscript"/>
      <sz val="11"/>
      <name val="Calibri"/>
      <family val="2"/>
      <scheme val="minor"/>
    </font>
    <font>
      <vertAlign val="superscript"/>
      <sz val="11"/>
      <color theme="1"/>
      <name val="Calibri"/>
      <family val="2"/>
      <scheme val="minor"/>
    </font>
    <font>
      <b/>
      <i/>
      <u/>
      <sz val="14"/>
      <color theme="1"/>
      <name val="Calibri"/>
      <family val="2"/>
      <scheme val="minor"/>
    </font>
    <font>
      <b/>
      <sz val="10"/>
      <color theme="1"/>
      <name val="Calibri"/>
      <family val="2"/>
      <scheme val="minor"/>
    </font>
    <font>
      <sz val="7"/>
      <color theme="1"/>
      <name val="Calibri"/>
      <family val="2"/>
      <scheme val="minor"/>
    </font>
    <font>
      <sz val="9"/>
      <color theme="1"/>
      <name val="Calibri"/>
      <family val="2"/>
      <scheme val="minor"/>
    </font>
    <font>
      <sz val="11"/>
      <color rgb="FFB8CCE4"/>
      <name val="Calibri"/>
      <family val="2"/>
      <scheme val="minor"/>
    </font>
    <font>
      <b/>
      <vertAlign val="subscript"/>
      <sz val="11"/>
      <color theme="1"/>
      <name val="Calibri"/>
      <family val="2"/>
      <scheme val="minor"/>
    </font>
    <font>
      <i/>
      <sz val="10"/>
      <color theme="1"/>
      <name val="Calibri"/>
      <family val="2"/>
      <scheme val="minor"/>
    </font>
    <font>
      <sz val="10"/>
      <color theme="1"/>
      <name val="Calibri"/>
      <family val="2"/>
      <scheme val="minor"/>
    </font>
    <font>
      <u/>
      <sz val="10"/>
      <color theme="10"/>
      <name val="Calibri"/>
      <family val="2"/>
      <scheme val="minor"/>
    </font>
    <font>
      <vertAlign val="subscript"/>
      <sz val="10"/>
      <color theme="1"/>
      <name val="Calibri"/>
      <family val="2"/>
      <scheme val="minor"/>
    </font>
    <font>
      <vertAlign val="superscript"/>
      <sz val="10"/>
      <color theme="1"/>
      <name val="Calibri"/>
      <family val="2"/>
      <scheme val="minor"/>
    </font>
    <font>
      <b/>
      <i/>
      <sz val="11"/>
      <color rgb="FFFF0000"/>
      <name val="Calibri"/>
      <family val="2"/>
      <scheme val="minor"/>
    </font>
    <font>
      <b/>
      <sz val="14"/>
      <color theme="1"/>
      <name val="Calibri"/>
      <family val="2"/>
      <scheme val="minor"/>
    </font>
    <font>
      <sz val="10"/>
      <color theme="0" tint="-0.499984740745262"/>
      <name val="Arial"/>
      <family val="2"/>
    </font>
    <font>
      <b/>
      <i/>
      <sz val="18"/>
      <color indexed="58"/>
      <name val="Arial"/>
      <family val="2"/>
    </font>
    <font>
      <sz val="10"/>
      <color rgb="FFFF0000"/>
      <name val="Arial"/>
      <family val="2"/>
    </font>
    <font>
      <i/>
      <sz val="11"/>
      <color theme="1"/>
      <name val="Calibri"/>
      <family val="2"/>
      <scheme val="minor"/>
    </font>
    <font>
      <b/>
      <sz val="11"/>
      <name val="Calibri"/>
      <family val="2"/>
    </font>
    <font>
      <i/>
      <sz val="9"/>
      <color rgb="FFFF0000"/>
      <name val="Arial"/>
      <family val="2"/>
    </font>
    <font>
      <i/>
      <sz val="8"/>
      <color rgb="FFFF0000"/>
      <name val="Arial"/>
      <family val="2"/>
    </font>
    <font>
      <sz val="10"/>
      <color theme="0" tint="-4.9989318521683403E-2"/>
      <name val="Arial"/>
      <family val="2"/>
    </font>
    <font>
      <sz val="10"/>
      <color theme="0"/>
      <name val="Arial"/>
      <family val="2"/>
    </font>
  </fonts>
  <fills count="13">
    <fill>
      <patternFill patternType="none"/>
    </fill>
    <fill>
      <patternFill patternType="gray125"/>
    </fill>
    <fill>
      <patternFill patternType="solid">
        <fgColor indexed="22"/>
        <bgColor indexed="64"/>
      </patternFill>
    </fill>
    <fill>
      <patternFill patternType="solid">
        <fgColor theme="0"/>
        <bgColor indexed="64"/>
      </patternFill>
    </fill>
    <fill>
      <patternFill patternType="solid">
        <fgColor theme="4" tint="0.59999389629810485"/>
        <bgColor indexed="64"/>
      </patternFill>
    </fill>
    <fill>
      <patternFill patternType="solid">
        <fgColor rgb="FFB8CCE4"/>
        <bgColor indexed="64"/>
      </patternFill>
    </fill>
    <fill>
      <patternFill patternType="solid">
        <fgColor theme="6" tint="0.79998168889431442"/>
        <bgColor indexed="64"/>
      </patternFill>
    </fill>
    <fill>
      <patternFill patternType="solid">
        <fgColor theme="4" tint="0.79998168889431442"/>
        <bgColor indexed="64"/>
      </patternFill>
    </fill>
    <fill>
      <patternFill patternType="solid">
        <fgColor theme="3" tint="0.89999084444715716"/>
        <bgColor indexed="64"/>
      </patternFill>
    </fill>
    <fill>
      <patternFill patternType="solid">
        <fgColor theme="0" tint="-4.9989318521683403E-2"/>
        <bgColor indexed="64"/>
      </patternFill>
    </fill>
    <fill>
      <patternFill patternType="solid">
        <fgColor theme="9" tint="0.79998168889431442"/>
        <bgColor indexed="64"/>
      </patternFill>
    </fill>
    <fill>
      <patternFill patternType="solid">
        <fgColor rgb="FFFFFF00"/>
        <bgColor indexed="64"/>
      </patternFill>
    </fill>
    <fill>
      <patternFill patternType="solid">
        <fgColor theme="9" tint="0.39997558519241921"/>
        <bgColor indexed="64"/>
      </patternFill>
    </fill>
  </fills>
  <borders count="41">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thin">
        <color indexed="64"/>
      </left>
      <right style="thin">
        <color indexed="64"/>
      </right>
      <top style="thin">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thin">
        <color indexed="64"/>
      </top>
      <bottom style="medium">
        <color indexed="64"/>
      </bottom>
      <diagonal/>
    </border>
    <border>
      <left/>
      <right/>
      <top style="medium">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diagonal/>
    </border>
    <border>
      <left style="thin">
        <color indexed="64"/>
      </left>
      <right style="thin">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s>
  <cellStyleXfs count="10">
    <xf numFmtId="0" fontId="0" fillId="0" borderId="0"/>
    <xf numFmtId="43" fontId="1" fillId="0" borderId="0" applyFont="0" applyFill="0" applyBorder="0" applyAlignment="0" applyProtection="0"/>
    <xf numFmtId="44" fontId="1" fillId="0" borderId="0" applyFont="0" applyFill="0" applyBorder="0" applyAlignment="0" applyProtection="0"/>
    <xf numFmtId="0" fontId="3" fillId="0" borderId="0" applyNumberFormat="0" applyFill="0" applyBorder="0" applyAlignment="0" applyProtection="0">
      <alignment vertical="top"/>
      <protection locked="0"/>
    </xf>
    <xf numFmtId="0" fontId="8" fillId="0" borderId="0"/>
    <xf numFmtId="9" fontId="1" fillId="0" borderId="0" applyFont="0" applyFill="0" applyBorder="0" applyAlignment="0" applyProtection="0"/>
    <xf numFmtId="0" fontId="29" fillId="0" borderId="0"/>
    <xf numFmtId="0" fontId="29" fillId="0" borderId="0"/>
    <xf numFmtId="0" fontId="29" fillId="0" borderId="0"/>
    <xf numFmtId="0" fontId="8" fillId="0" borderId="0"/>
  </cellStyleXfs>
  <cellXfs count="583">
    <xf numFmtId="0" fontId="0" fillId="0" borderId="0" xfId="0"/>
    <xf numFmtId="0" fontId="0" fillId="0" borderId="0" xfId="0" applyProtection="1">
      <protection locked="0"/>
    </xf>
    <xf numFmtId="0" fontId="2" fillId="0" borderId="0" xfId="0" applyFont="1"/>
    <xf numFmtId="0" fontId="8" fillId="0" borderId="0" xfId="0" applyFont="1"/>
    <xf numFmtId="0" fontId="17" fillId="0" borderId="0" xfId="0" applyFont="1"/>
    <xf numFmtId="0" fontId="18" fillId="0" borderId="0" xfId="0" applyFont="1"/>
    <xf numFmtId="0" fontId="19" fillId="0" borderId="0" xfId="0" applyFont="1"/>
    <xf numFmtId="0" fontId="2" fillId="0" borderId="0" xfId="0" applyFont="1" applyAlignment="1">
      <alignment wrapText="1"/>
    </xf>
    <xf numFmtId="165" fontId="2" fillId="0" borderId="0" xfId="1" applyNumberFormat="1" applyFont="1" applyFill="1"/>
    <xf numFmtId="165" fontId="8" fillId="0" borderId="0" xfId="1" applyNumberFormat="1" applyFont="1" applyFill="1"/>
    <xf numFmtId="0" fontId="17" fillId="0" borderId="0" xfId="0" applyFont="1" applyAlignment="1">
      <alignment horizontal="center" wrapText="1"/>
    </xf>
    <xf numFmtId="165" fontId="17" fillId="0" borderId="0" xfId="1" applyNumberFormat="1" applyFont="1" applyFill="1" applyAlignment="1">
      <alignment horizontal="center" wrapText="1"/>
    </xf>
    <xf numFmtId="0" fontId="21" fillId="0" borderId="0" xfId="0" applyFont="1"/>
    <xf numFmtId="2" fontId="21" fillId="0" borderId="0" xfId="0" applyNumberFormat="1" applyFont="1"/>
    <xf numFmtId="0" fontId="22" fillId="0" borderId="0" xfId="0" applyFont="1" applyAlignment="1">
      <alignment horizontal="center"/>
    </xf>
    <xf numFmtId="0" fontId="17" fillId="0" borderId="0" xfId="0" applyFont="1" applyAlignment="1">
      <alignment wrapText="1"/>
    </xf>
    <xf numFmtId="0" fontId="2" fillId="0" borderId="0" xfId="0" applyFont="1" applyAlignment="1">
      <alignment horizontal="center" wrapText="1"/>
    </xf>
    <xf numFmtId="0" fontId="2" fillId="0" borderId="14" xfId="4" applyFont="1" applyBorder="1" applyAlignment="1">
      <alignment horizontal="center" vertical="center"/>
    </xf>
    <xf numFmtId="0" fontId="2" fillId="0" borderId="15" xfId="4" quotePrefix="1" applyFont="1" applyBorder="1" applyAlignment="1">
      <alignment horizontal="center" vertical="center"/>
    </xf>
    <xf numFmtId="0" fontId="2" fillId="0" borderId="16" xfId="4" quotePrefix="1" applyFont="1" applyBorder="1" applyAlignment="1">
      <alignment horizontal="center" vertical="center"/>
    </xf>
    <xf numFmtId="0" fontId="2" fillId="0" borderId="8" xfId="0" applyFont="1" applyBorder="1" applyAlignment="1">
      <alignment wrapText="1"/>
    </xf>
    <xf numFmtId="0" fontId="2" fillId="0" borderId="8" xfId="0" applyFont="1" applyBorder="1" applyAlignment="1">
      <alignment horizontal="center" wrapText="1"/>
    </xf>
    <xf numFmtId="172" fontId="8" fillId="0" borderId="0" xfId="4" quotePrefix="1" applyNumberFormat="1" applyAlignment="1">
      <alignment horizontal="center" vertical="center"/>
    </xf>
    <xf numFmtId="0" fontId="0" fillId="0" borderId="0" xfId="0" applyAlignment="1">
      <alignment horizontal="center"/>
    </xf>
    <xf numFmtId="0" fontId="0" fillId="0" borderId="0" xfId="0" applyAlignment="1">
      <alignment horizontal="right" wrapText="1"/>
    </xf>
    <xf numFmtId="3" fontId="0" fillId="0" borderId="0" xfId="0" applyNumberFormat="1"/>
    <xf numFmtId="175" fontId="0" fillId="0" borderId="0" xfId="0" applyNumberFormat="1"/>
    <xf numFmtId="0" fontId="0" fillId="0" borderId="0" xfId="0" applyAlignment="1">
      <alignment horizontal="center" wrapText="1"/>
    </xf>
    <xf numFmtId="1" fontId="22" fillId="0" borderId="0" xfId="0" applyNumberFormat="1" applyFont="1" applyAlignment="1">
      <alignment horizontal="center"/>
    </xf>
    <xf numFmtId="0" fontId="2" fillId="0" borderId="0" xfId="0" applyFont="1" applyProtection="1">
      <protection locked="0"/>
    </xf>
    <xf numFmtId="166" fontId="0" fillId="0" borderId="0" xfId="0" applyNumberFormat="1" applyProtection="1">
      <protection locked="0"/>
    </xf>
    <xf numFmtId="2" fontId="0" fillId="0" borderId="0" xfId="0" applyNumberFormat="1" applyProtection="1">
      <protection locked="0"/>
    </xf>
    <xf numFmtId="172" fontId="0" fillId="0" borderId="0" xfId="0" applyNumberFormat="1" applyProtection="1">
      <protection locked="0"/>
    </xf>
    <xf numFmtId="9" fontId="0" fillId="0" borderId="0" xfId="0" applyNumberFormat="1" applyProtection="1">
      <protection locked="0"/>
    </xf>
    <xf numFmtId="2" fontId="0" fillId="0" borderId="0" xfId="0" quotePrefix="1" applyNumberFormat="1" applyProtection="1">
      <protection locked="0"/>
    </xf>
    <xf numFmtId="43" fontId="0" fillId="0" borderId="0" xfId="0" applyNumberFormat="1" applyProtection="1">
      <protection locked="0"/>
    </xf>
    <xf numFmtId="0" fontId="26" fillId="0" borderId="0" xfId="0" applyFont="1"/>
    <xf numFmtId="4" fontId="0" fillId="0" borderId="0" xfId="0" applyNumberFormat="1" applyAlignment="1">
      <alignment horizontal="center"/>
    </xf>
    <xf numFmtId="0" fontId="2" fillId="0" borderId="0" xfId="0" applyFont="1" applyAlignment="1">
      <alignment horizontal="center"/>
    </xf>
    <xf numFmtId="4" fontId="0" fillId="0" borderId="0" xfId="0" applyNumberFormat="1"/>
    <xf numFmtId="0" fontId="3" fillId="0" borderId="0" xfId="3" applyAlignment="1" applyProtection="1"/>
    <xf numFmtId="0" fontId="3" fillId="0" borderId="0" xfId="3" applyAlignment="1" applyProtection="1">
      <alignment vertical="center"/>
    </xf>
    <xf numFmtId="2" fontId="0" fillId="0" borderId="0" xfId="0" applyNumberFormat="1"/>
    <xf numFmtId="172" fontId="0" fillId="0" borderId="0" xfId="0" applyNumberFormat="1"/>
    <xf numFmtId="179" fontId="0" fillId="0" borderId="0" xfId="2" applyNumberFormat="1" applyFont="1"/>
    <xf numFmtId="179" fontId="2" fillId="0" borderId="0" xfId="0" applyNumberFormat="1" applyFont="1"/>
    <xf numFmtId="0" fontId="29" fillId="0" borderId="0" xfId="7"/>
    <xf numFmtId="0" fontId="0" fillId="4" borderId="1" xfId="0" applyFill="1" applyBorder="1" applyAlignment="1">
      <alignment vertical="center"/>
    </xf>
    <xf numFmtId="0" fontId="35" fillId="4" borderId="19" xfId="0" applyFont="1" applyFill="1" applyBorder="1" applyAlignment="1">
      <alignment vertical="center"/>
    </xf>
    <xf numFmtId="0" fontId="0" fillId="4" borderId="19" xfId="0" applyFill="1" applyBorder="1" applyAlignment="1">
      <alignment vertical="center"/>
    </xf>
    <xf numFmtId="0" fontId="0" fillId="4" borderId="3" xfId="0" applyFill="1" applyBorder="1" applyAlignment="1">
      <alignment vertical="center"/>
    </xf>
    <xf numFmtId="0" fontId="0" fillId="0" borderId="0" xfId="0" applyAlignment="1">
      <alignment vertical="center"/>
    </xf>
    <xf numFmtId="0" fontId="29" fillId="0" borderId="0" xfId="7" applyAlignment="1">
      <alignment vertical="center"/>
    </xf>
    <xf numFmtId="0" fontId="0" fillId="4" borderId="4" xfId="0" applyFill="1" applyBorder="1"/>
    <xf numFmtId="0" fontId="0" fillId="4" borderId="0" xfId="0" applyFill="1"/>
    <xf numFmtId="0" fontId="36" fillId="4" borderId="0" xfId="0" applyFont="1" applyFill="1"/>
    <xf numFmtId="0" fontId="0" fillId="4" borderId="5" xfId="0" applyFill="1" applyBorder="1"/>
    <xf numFmtId="0" fontId="0" fillId="0" borderId="0" xfId="0" quotePrefix="1"/>
    <xf numFmtId="0" fontId="30" fillId="0" borderId="0" xfId="0" applyFont="1"/>
    <xf numFmtId="0" fontId="30" fillId="0" borderId="0" xfId="7" applyFont="1"/>
    <xf numFmtId="1" fontId="0" fillId="0" borderId="0" xfId="0" applyNumberFormat="1"/>
    <xf numFmtId="1" fontId="0" fillId="0" borderId="0" xfId="5" applyNumberFormat="1" applyFont="1"/>
    <xf numFmtId="0" fontId="0" fillId="0" borderId="23" xfId="0" applyBorder="1"/>
    <xf numFmtId="0" fontId="0" fillId="0" borderId="23" xfId="0" applyBorder="1" applyAlignment="1">
      <alignment horizontal="centerContinuous"/>
    </xf>
    <xf numFmtId="0" fontId="0" fillId="0" borderId="24" xfId="0" applyBorder="1" applyAlignment="1">
      <alignment horizontal="centerContinuous"/>
    </xf>
    <xf numFmtId="0" fontId="0" fillId="0" borderId="25" xfId="0" applyBorder="1" applyAlignment="1">
      <alignment horizontal="centerContinuous"/>
    </xf>
    <xf numFmtId="0" fontId="0" fillId="0" borderId="26" xfId="0" applyBorder="1"/>
    <xf numFmtId="0" fontId="0" fillId="0" borderId="6" xfId="0" applyBorder="1"/>
    <xf numFmtId="0" fontId="38" fillId="0" borderId="21" xfId="0" applyFont="1" applyBorder="1" applyAlignment="1">
      <alignment horizontal="center" wrapText="1"/>
    </xf>
    <xf numFmtId="0" fontId="38" fillId="0" borderId="23" xfId="0" applyFont="1" applyBorder="1" applyAlignment="1">
      <alignment horizontal="center"/>
    </xf>
    <xf numFmtId="0" fontId="38" fillId="0" borderId="24" xfId="0" applyFont="1" applyBorder="1" applyAlignment="1">
      <alignment horizontal="center"/>
    </xf>
    <xf numFmtId="0" fontId="38" fillId="0" borderId="6" xfId="0" applyFont="1" applyBorder="1" applyAlignment="1">
      <alignment horizontal="center"/>
    </xf>
    <xf numFmtId="0" fontId="0" fillId="0" borderId="20" xfId="0" applyBorder="1" applyAlignment="1">
      <alignment vertical="center"/>
    </xf>
    <xf numFmtId="0" fontId="0" fillId="0" borderId="20" xfId="0" applyBorder="1" applyAlignment="1">
      <alignment horizontal="center" vertical="center"/>
    </xf>
    <xf numFmtId="0" fontId="0" fillId="0" borderId="22" xfId="0" applyBorder="1" applyAlignment="1">
      <alignment horizontal="center" vertical="center"/>
    </xf>
    <xf numFmtId="0" fontId="0" fillId="0" borderId="6" xfId="0" applyBorder="1" applyAlignment="1">
      <alignment horizontal="center" vertical="center"/>
    </xf>
    <xf numFmtId="0" fontId="0" fillId="0" borderId="0" xfId="0" applyAlignment="1">
      <alignment horizontal="center" vertical="center"/>
    </xf>
    <xf numFmtId="0" fontId="29" fillId="0" borderId="20" xfId="7" applyBorder="1" applyAlignment="1">
      <alignment horizontal="left" vertical="center"/>
    </xf>
    <xf numFmtId="0" fontId="29" fillId="0" borderId="21" xfId="7" applyBorder="1" applyAlignment="1">
      <alignment horizontal="center"/>
    </xf>
    <xf numFmtId="3" fontId="29" fillId="0" borderId="22" xfId="7" applyNumberFormat="1" applyBorder="1" applyAlignment="1">
      <alignment horizontal="center"/>
    </xf>
    <xf numFmtId="0" fontId="0" fillId="0" borderId="20" xfId="0" applyBorder="1"/>
    <xf numFmtId="0" fontId="42" fillId="4" borderId="0" xfId="0" applyFont="1" applyFill="1"/>
    <xf numFmtId="0" fontId="0" fillId="4" borderId="0" xfId="0" applyFill="1" applyAlignment="1">
      <alignment horizontal="center"/>
    </xf>
    <xf numFmtId="3" fontId="38" fillId="0" borderId="0" xfId="4" applyNumberFormat="1" applyFont="1"/>
    <xf numFmtId="3" fontId="38" fillId="0" borderId="27" xfId="4" applyNumberFormat="1" applyFont="1" applyBorder="1"/>
    <xf numFmtId="0" fontId="0" fillId="0" borderId="28" xfId="0" applyBorder="1"/>
    <xf numFmtId="0" fontId="0" fillId="0" borderId="28" xfId="0" applyBorder="1" applyAlignment="1">
      <alignment horizontal="center"/>
    </xf>
    <xf numFmtId="0" fontId="0" fillId="0" borderId="29" xfId="0" applyBorder="1" applyAlignment="1">
      <alignment horizontal="center"/>
    </xf>
    <xf numFmtId="0" fontId="0" fillId="0" borderId="30" xfId="0" applyBorder="1" applyAlignment="1">
      <alignment horizontal="center"/>
    </xf>
    <xf numFmtId="0" fontId="0" fillId="0" borderId="31" xfId="0" applyBorder="1" applyAlignment="1">
      <alignment horizontal="center"/>
    </xf>
    <xf numFmtId="0" fontId="38" fillId="0" borderId="6" xfId="0" applyFont="1" applyBorder="1"/>
    <xf numFmtId="3" fontId="0" fillId="0" borderId="21" xfId="0" applyNumberFormat="1" applyBorder="1" applyAlignment="1">
      <alignment horizontal="center"/>
    </xf>
    <xf numFmtId="3" fontId="0" fillId="0" borderId="20" xfId="0" applyNumberFormat="1" applyBorder="1" applyAlignment="1">
      <alignment horizontal="center"/>
    </xf>
    <xf numFmtId="3" fontId="0" fillId="0" borderId="22" xfId="0" applyNumberFormat="1" applyBorder="1" applyAlignment="1">
      <alignment horizontal="center"/>
    </xf>
    <xf numFmtId="4" fontId="0" fillId="0" borderId="20" xfId="0" applyNumberFormat="1" applyBorder="1" applyAlignment="1">
      <alignment horizontal="center"/>
    </xf>
    <xf numFmtId="4" fontId="0" fillId="0" borderId="22" xfId="0" applyNumberFormat="1" applyBorder="1" applyAlignment="1">
      <alignment horizontal="center"/>
    </xf>
    <xf numFmtId="3" fontId="0" fillId="0" borderId="0" xfId="0" applyNumberFormat="1" applyAlignment="1">
      <alignment horizontal="center" vertical="center"/>
    </xf>
    <xf numFmtId="0" fontId="29" fillId="0" borderId="20" xfId="7" applyBorder="1"/>
    <xf numFmtId="175" fontId="29" fillId="0" borderId="21" xfId="7" applyNumberFormat="1" applyBorder="1" applyAlignment="1">
      <alignment horizontal="center"/>
    </xf>
    <xf numFmtId="3" fontId="0" fillId="0" borderId="0" xfId="0" applyNumberFormat="1" applyAlignment="1">
      <alignment horizontal="center"/>
    </xf>
    <xf numFmtId="0" fontId="0" fillId="0" borderId="32" xfId="0" applyBorder="1"/>
    <xf numFmtId="0" fontId="0" fillId="0" borderId="32" xfId="0" applyBorder="1" applyAlignment="1">
      <alignment horizontal="center"/>
    </xf>
    <xf numFmtId="0" fontId="0" fillId="0" borderId="33" xfId="0" applyBorder="1" applyAlignment="1">
      <alignment horizontal="center"/>
    </xf>
    <xf numFmtId="10" fontId="0" fillId="0" borderId="27" xfId="0" applyNumberFormat="1" applyBorder="1" applyAlignment="1">
      <alignment horizontal="center"/>
    </xf>
    <xf numFmtId="0" fontId="0" fillId="0" borderId="33" xfId="0" applyBorder="1"/>
    <xf numFmtId="0" fontId="0" fillId="0" borderId="31" xfId="0" applyBorder="1"/>
    <xf numFmtId="0" fontId="38" fillId="0" borderId="32" xfId="4" applyFont="1" applyBorder="1"/>
    <xf numFmtId="0" fontId="38" fillId="0" borderId="0" xfId="4" applyFont="1"/>
    <xf numFmtId="0" fontId="0" fillId="0" borderId="20" xfId="0" applyBorder="1" applyAlignment="1">
      <alignment horizontal="center"/>
    </xf>
    <xf numFmtId="0" fontId="0" fillId="0" borderId="22" xfId="0" applyBorder="1" applyAlignment="1">
      <alignment horizontal="center"/>
    </xf>
    <xf numFmtId="175" fontId="0" fillId="0" borderId="21" xfId="0" applyNumberFormat="1" applyBorder="1" applyAlignment="1">
      <alignment horizontal="center"/>
    </xf>
    <xf numFmtId="9" fontId="0" fillId="0" borderId="26" xfId="0" applyNumberFormat="1" applyBorder="1" applyAlignment="1">
      <alignment horizontal="center"/>
    </xf>
    <xf numFmtId="3" fontId="0" fillId="0" borderId="32" xfId="0" applyNumberFormat="1" applyBorder="1" applyAlignment="1">
      <alignment horizontal="center"/>
    </xf>
    <xf numFmtId="3" fontId="0" fillId="0" borderId="27" xfId="0" applyNumberFormat="1" applyBorder="1" applyAlignment="1">
      <alignment horizontal="center"/>
    </xf>
    <xf numFmtId="4" fontId="0" fillId="0" borderId="32" xfId="0" applyNumberFormat="1" applyBorder="1" applyAlignment="1">
      <alignment horizontal="center"/>
    </xf>
    <xf numFmtId="4" fontId="0" fillId="0" borderId="27" xfId="0" applyNumberFormat="1" applyBorder="1" applyAlignment="1">
      <alignment horizontal="center"/>
    </xf>
    <xf numFmtId="175" fontId="0" fillId="0" borderId="0" xfId="0" applyNumberFormat="1" applyAlignment="1">
      <alignment horizontal="center" vertical="center"/>
    </xf>
    <xf numFmtId="0" fontId="29" fillId="0" borderId="32" xfId="7" applyBorder="1"/>
    <xf numFmtId="175" fontId="29" fillId="0" borderId="0" xfId="7" applyNumberFormat="1" applyAlignment="1">
      <alignment horizontal="center"/>
    </xf>
    <xf numFmtId="3" fontId="29" fillId="0" borderId="27" xfId="7" applyNumberFormat="1" applyBorder="1" applyAlignment="1">
      <alignment horizontal="center"/>
    </xf>
    <xf numFmtId="0" fontId="30" fillId="4" borderId="30" xfId="0" applyFont="1" applyFill="1" applyBorder="1"/>
    <xf numFmtId="0" fontId="30" fillId="4" borderId="30" xfId="0" applyFont="1" applyFill="1" applyBorder="1" applyAlignment="1">
      <alignment horizontal="center"/>
    </xf>
    <xf numFmtId="0" fontId="0" fillId="0" borderId="27" xfId="0" applyBorder="1" applyAlignment="1">
      <alignment horizontal="center"/>
    </xf>
    <xf numFmtId="175" fontId="0" fillId="0" borderId="0" xfId="0" applyNumberFormat="1" applyAlignment="1">
      <alignment horizontal="center"/>
    </xf>
    <xf numFmtId="9" fontId="0" fillId="0" borderId="27" xfId="0" applyNumberFormat="1" applyBorder="1" applyAlignment="1">
      <alignment horizontal="center"/>
    </xf>
    <xf numFmtId="9" fontId="0" fillId="0" borderId="33" xfId="0" applyNumberFormat="1" applyBorder="1" applyAlignment="1">
      <alignment horizontal="center"/>
    </xf>
    <xf numFmtId="0" fontId="30" fillId="4" borderId="0" xfId="0" applyFont="1" applyFill="1"/>
    <xf numFmtId="3" fontId="0" fillId="3" borderId="6" xfId="0" applyNumberFormat="1" applyFill="1" applyBorder="1" applyAlignment="1" applyProtection="1">
      <alignment horizontal="center"/>
      <protection locked="0"/>
    </xf>
    <xf numFmtId="3" fontId="0" fillId="4" borderId="0" xfId="0" applyNumberFormat="1" applyFill="1"/>
    <xf numFmtId="9" fontId="0" fillId="3" borderId="6" xfId="0" applyNumberFormat="1" applyFill="1" applyBorder="1" applyProtection="1">
      <protection locked="0"/>
    </xf>
    <xf numFmtId="3" fontId="43" fillId="4" borderId="0" xfId="0" applyNumberFormat="1" applyFont="1" applyFill="1"/>
    <xf numFmtId="3" fontId="0" fillId="4" borderId="0" xfId="0" applyNumberFormat="1" applyFill="1" applyAlignment="1">
      <alignment horizontal="center"/>
    </xf>
    <xf numFmtId="0" fontId="44" fillId="4" borderId="0" xfId="0" applyFont="1" applyFill="1" applyAlignment="1">
      <alignment vertical="top"/>
    </xf>
    <xf numFmtId="10" fontId="0" fillId="0" borderId="29" xfId="0" applyNumberFormat="1" applyBorder="1" applyAlignment="1">
      <alignment horizontal="center"/>
    </xf>
    <xf numFmtId="3" fontId="0" fillId="0" borderId="30" xfId="0" applyNumberFormat="1" applyBorder="1" applyAlignment="1">
      <alignment horizontal="center"/>
    </xf>
    <xf numFmtId="3" fontId="0" fillId="0" borderId="28" xfId="0" applyNumberFormat="1" applyBorder="1" applyAlignment="1">
      <alignment horizontal="center"/>
    </xf>
    <xf numFmtId="3" fontId="0" fillId="0" borderId="29" xfId="0" applyNumberFormat="1" applyBorder="1" applyAlignment="1">
      <alignment horizontal="center"/>
    </xf>
    <xf numFmtId="4" fontId="0" fillId="0" borderId="28" xfId="0" applyNumberFormat="1" applyBorder="1" applyAlignment="1">
      <alignment horizontal="center"/>
    </xf>
    <xf numFmtId="4" fontId="0" fillId="0" borderId="29" xfId="0" applyNumberFormat="1" applyBorder="1" applyAlignment="1">
      <alignment horizontal="center"/>
    </xf>
    <xf numFmtId="175" fontId="0" fillId="0" borderId="30" xfId="0" applyNumberFormat="1" applyBorder="1" applyAlignment="1">
      <alignment horizontal="center"/>
    </xf>
    <xf numFmtId="9" fontId="0" fillId="0" borderId="31" xfId="0" applyNumberFormat="1" applyBorder="1" applyAlignment="1">
      <alignment horizontal="center"/>
    </xf>
    <xf numFmtId="0" fontId="38" fillId="0" borderId="0" xfId="0" applyFont="1"/>
    <xf numFmtId="0" fontId="45" fillId="4" borderId="0" xfId="0" applyFont="1" applyFill="1" applyAlignment="1">
      <alignment vertical="top"/>
    </xf>
    <xf numFmtId="0" fontId="46" fillId="5" borderId="0" xfId="0" applyFont="1" applyFill="1"/>
    <xf numFmtId="0" fontId="30" fillId="4" borderId="0" xfId="0" applyFont="1" applyFill="1" applyAlignment="1">
      <alignment horizontal="center"/>
    </xf>
    <xf numFmtId="0" fontId="30" fillId="4" borderId="23" xfId="0" applyFont="1" applyFill="1" applyBorder="1"/>
    <xf numFmtId="0" fontId="30" fillId="4" borderId="25" xfId="0" applyFont="1" applyFill="1" applyBorder="1"/>
    <xf numFmtId="175" fontId="0" fillId="4" borderId="25" xfId="0" applyNumberFormat="1" applyFill="1" applyBorder="1" applyAlignment="1">
      <alignment horizontal="center" vertical="center"/>
    </xf>
    <xf numFmtId="0" fontId="0" fillId="4" borderId="25" xfId="0" applyFill="1" applyBorder="1"/>
    <xf numFmtId="0" fontId="30" fillId="4" borderId="25" xfId="0" applyFont="1" applyFill="1" applyBorder="1" applyAlignment="1">
      <alignment horizontal="center"/>
    </xf>
    <xf numFmtId="0" fontId="30" fillId="4" borderId="24" xfId="0" applyFont="1" applyFill="1" applyBorder="1" applyAlignment="1">
      <alignment horizontal="center"/>
    </xf>
    <xf numFmtId="0" fontId="38" fillId="4" borderId="32" xfId="0" applyFont="1" applyFill="1" applyBorder="1" applyAlignment="1">
      <alignment horizontal="left" indent="2"/>
    </xf>
    <xf numFmtId="0" fontId="0" fillId="4" borderId="0" xfId="0" applyFill="1" applyAlignment="1">
      <alignment horizontal="left" indent="2"/>
    </xf>
    <xf numFmtId="175" fontId="0" fillId="4" borderId="0" xfId="0" applyNumberFormat="1" applyFill="1" applyAlignment="1">
      <alignment vertical="center"/>
    </xf>
    <xf numFmtId="175" fontId="0" fillId="4" borderId="0" xfId="0" applyNumberFormat="1" applyFill="1" applyAlignment="1">
      <alignment horizontal="center"/>
    </xf>
    <xf numFmtId="175" fontId="0" fillId="4" borderId="27" xfId="0" applyNumberFormat="1" applyFill="1" applyBorder="1" applyAlignment="1">
      <alignment horizontal="center"/>
    </xf>
    <xf numFmtId="175" fontId="0" fillId="4" borderId="5" xfId="0" applyNumberFormat="1" applyFill="1" applyBorder="1" applyAlignment="1">
      <alignment horizontal="center"/>
    </xf>
    <xf numFmtId="175" fontId="0" fillId="4" borderId="0" xfId="0" applyNumberFormat="1" applyFill="1" applyAlignment="1">
      <alignment horizontal="center" vertical="center"/>
    </xf>
    <xf numFmtId="0" fontId="0" fillId="4" borderId="32" xfId="0" applyFill="1" applyBorder="1" applyAlignment="1">
      <alignment horizontal="left" indent="2"/>
    </xf>
    <xf numFmtId="0" fontId="30" fillId="4" borderId="28" xfId="0" applyFont="1" applyFill="1" applyBorder="1" applyAlignment="1">
      <alignment horizontal="left" indent="2"/>
    </xf>
    <xf numFmtId="0" fontId="30" fillId="4" borderId="30" xfId="0" applyFont="1" applyFill="1" applyBorder="1" applyAlignment="1">
      <alignment horizontal="left" indent="2"/>
    </xf>
    <xf numFmtId="175" fontId="0" fillId="4" borderId="30" xfId="0" applyNumberFormat="1" applyFill="1" applyBorder="1" applyAlignment="1">
      <alignment vertical="center"/>
    </xf>
    <xf numFmtId="175" fontId="30" fillId="4" borderId="30" xfId="0" applyNumberFormat="1" applyFont="1" applyFill="1" applyBorder="1" applyAlignment="1">
      <alignment horizontal="center"/>
    </xf>
    <xf numFmtId="175" fontId="30" fillId="4" borderId="29" xfId="0" applyNumberFormat="1" applyFont="1" applyFill="1" applyBorder="1" applyAlignment="1">
      <alignment horizontal="center"/>
    </xf>
    <xf numFmtId="0" fontId="30" fillId="4" borderId="23" xfId="0" applyFont="1" applyFill="1" applyBorder="1" applyAlignment="1">
      <alignment horizontal="left"/>
    </xf>
    <xf numFmtId="0" fontId="30" fillId="4" borderId="25" xfId="0" applyFont="1" applyFill="1" applyBorder="1" applyAlignment="1">
      <alignment horizontal="left"/>
    </xf>
    <xf numFmtId="0" fontId="0" fillId="4" borderId="25" xfId="0" applyFill="1" applyBorder="1" applyAlignment="1">
      <alignment horizontal="center"/>
    </xf>
    <xf numFmtId="0" fontId="0" fillId="4" borderId="24" xfId="0" applyFill="1" applyBorder="1"/>
    <xf numFmtId="175" fontId="0" fillId="4" borderId="30" xfId="0" applyNumberFormat="1" applyFill="1" applyBorder="1" applyAlignment="1">
      <alignment horizontal="center" vertical="center"/>
    </xf>
    <xf numFmtId="175" fontId="0" fillId="4" borderId="25" xfId="0" applyNumberFormat="1" applyFill="1" applyBorder="1" applyAlignment="1">
      <alignment horizontal="center"/>
    </xf>
    <xf numFmtId="175" fontId="0" fillId="4" borderId="24" xfId="0" applyNumberFormat="1" applyFill="1" applyBorder="1" applyAlignment="1">
      <alignment horizontal="center"/>
    </xf>
    <xf numFmtId="0" fontId="30" fillId="4" borderId="32" xfId="0" applyFont="1" applyFill="1" applyBorder="1" applyAlignment="1">
      <alignment horizontal="left" indent="2"/>
    </xf>
    <xf numFmtId="0" fontId="30" fillId="4" borderId="0" xfId="0" applyFont="1" applyFill="1" applyAlignment="1">
      <alignment horizontal="left" indent="2"/>
    </xf>
    <xf numFmtId="175" fontId="30" fillId="4" borderId="0" xfId="0" applyNumberFormat="1" applyFont="1" applyFill="1" applyAlignment="1">
      <alignment horizontal="center"/>
    </xf>
    <xf numFmtId="175" fontId="30" fillId="4" borderId="27" xfId="0" applyNumberFormat="1" applyFont="1" applyFill="1" applyBorder="1" applyAlignment="1">
      <alignment horizontal="center"/>
    </xf>
    <xf numFmtId="3" fontId="0" fillId="4" borderId="0" xfId="0" applyNumberFormat="1" applyFill="1" applyAlignment="1">
      <alignment horizontal="center" vertical="center"/>
    </xf>
    <xf numFmtId="3" fontId="0" fillId="4" borderId="27" xfId="0" applyNumberFormat="1" applyFill="1" applyBorder="1" applyAlignment="1">
      <alignment horizontal="center" vertical="center"/>
    </xf>
    <xf numFmtId="166" fontId="48" fillId="4" borderId="0" xfId="0" applyNumberFormat="1" applyFont="1" applyFill="1" applyAlignment="1">
      <alignment horizontal="center" vertical="center"/>
    </xf>
    <xf numFmtId="166" fontId="48" fillId="4" borderId="27" xfId="0" applyNumberFormat="1" applyFont="1" applyFill="1" applyBorder="1" applyAlignment="1">
      <alignment horizontal="center" vertical="center"/>
    </xf>
    <xf numFmtId="175" fontId="0" fillId="4" borderId="27" xfId="0" applyNumberFormat="1" applyFill="1" applyBorder="1" applyAlignment="1">
      <alignment horizontal="center" vertical="center"/>
    </xf>
    <xf numFmtId="0" fontId="0" fillId="4" borderId="28" xfId="0" applyFill="1" applyBorder="1" applyAlignment="1">
      <alignment horizontal="left" vertical="center"/>
    </xf>
    <xf numFmtId="0" fontId="0" fillId="4" borderId="30" xfId="0" applyFill="1" applyBorder="1" applyAlignment="1">
      <alignment horizontal="left" vertical="center"/>
    </xf>
    <xf numFmtId="166" fontId="48" fillId="4" borderId="30" xfId="0" applyNumberFormat="1" applyFont="1" applyFill="1" applyBorder="1" applyAlignment="1">
      <alignment horizontal="center" vertical="center"/>
    </xf>
    <xf numFmtId="166" fontId="48" fillId="4" borderId="29" xfId="0" applyNumberFormat="1" applyFont="1" applyFill="1" applyBorder="1" applyAlignment="1">
      <alignment horizontal="center" vertical="center"/>
    </xf>
    <xf numFmtId="0" fontId="30" fillId="4" borderId="32" xfId="0" applyFont="1" applyFill="1" applyBorder="1"/>
    <xf numFmtId="0" fontId="29" fillId="0" borderId="28" xfId="7" applyBorder="1"/>
    <xf numFmtId="175" fontId="29" fillId="0" borderId="30" xfId="7" applyNumberFormat="1" applyBorder="1" applyAlignment="1">
      <alignment horizontal="center"/>
    </xf>
    <xf numFmtId="3" fontId="29" fillId="0" borderId="29" xfId="7" applyNumberFormat="1" applyBorder="1" applyAlignment="1">
      <alignment horizontal="center"/>
    </xf>
    <xf numFmtId="4" fontId="0" fillId="4" borderId="0" xfId="0" applyNumberFormat="1" applyFill="1" applyAlignment="1">
      <alignment horizontal="center"/>
    </xf>
    <xf numFmtId="4" fontId="0" fillId="4" borderId="27" xfId="0" applyNumberFormat="1" applyFill="1" applyBorder="1" applyAlignment="1">
      <alignment horizontal="center"/>
    </xf>
    <xf numFmtId="0" fontId="0" fillId="4" borderId="28" xfId="0" applyFill="1" applyBorder="1" applyAlignment="1">
      <alignment horizontal="left" indent="2"/>
    </xf>
    <xf numFmtId="0" fontId="0" fillId="4" borderId="30" xfId="0" applyFill="1" applyBorder="1" applyAlignment="1">
      <alignment horizontal="left" indent="2"/>
    </xf>
    <xf numFmtId="4" fontId="0" fillId="4" borderId="30" xfId="0" applyNumberFormat="1" applyFill="1" applyBorder="1" applyAlignment="1">
      <alignment horizontal="center"/>
    </xf>
    <xf numFmtId="4" fontId="0" fillId="4" borderId="29" xfId="0" applyNumberFormat="1" applyFill="1" applyBorder="1" applyAlignment="1">
      <alignment horizontal="center"/>
    </xf>
    <xf numFmtId="0" fontId="0" fillId="4" borderId="7" xfId="0" applyFill="1" applyBorder="1"/>
    <xf numFmtId="0" fontId="0" fillId="4" borderId="8" xfId="0" applyFill="1" applyBorder="1" applyAlignment="1">
      <alignment horizontal="left" indent="2"/>
    </xf>
    <xf numFmtId="175" fontId="0" fillId="4" borderId="8" xfId="0" applyNumberFormat="1" applyFill="1" applyBorder="1" applyAlignment="1">
      <alignment horizontal="center"/>
    </xf>
    <xf numFmtId="0" fontId="0" fillId="4" borderId="8" xfId="0" applyFill="1" applyBorder="1" applyAlignment="1">
      <alignment horizontal="center"/>
    </xf>
    <xf numFmtId="0" fontId="0" fillId="4" borderId="9" xfId="0" applyFill="1" applyBorder="1"/>
    <xf numFmtId="0" fontId="43" fillId="4" borderId="30" xfId="0" applyFont="1" applyFill="1" applyBorder="1"/>
    <xf numFmtId="0" fontId="43" fillId="4" borderId="30" xfId="0" applyFont="1" applyFill="1" applyBorder="1" applyAlignment="1">
      <alignment horizontal="center"/>
    </xf>
    <xf numFmtId="0" fontId="49" fillId="4" borderId="30" xfId="0" applyFont="1" applyFill="1" applyBorder="1"/>
    <xf numFmtId="0" fontId="49" fillId="4" borderId="5" xfId="0" applyFont="1" applyFill="1" applyBorder="1"/>
    <xf numFmtId="3" fontId="49" fillId="4" borderId="0" xfId="0" applyNumberFormat="1" applyFont="1" applyFill="1" applyAlignment="1">
      <alignment horizontal="center" vertical="center" wrapText="1"/>
    </xf>
    <xf numFmtId="0" fontId="49" fillId="4" borderId="0" xfId="0" applyFont="1" applyFill="1" applyAlignment="1">
      <alignment vertical="center"/>
    </xf>
    <xf numFmtId="0" fontId="49" fillId="4" borderId="0" xfId="0" applyFont="1" applyFill="1" applyAlignment="1">
      <alignment vertical="center" wrapText="1"/>
    </xf>
    <xf numFmtId="0" fontId="49" fillId="4" borderId="5" xfId="0" applyFont="1" applyFill="1" applyBorder="1" applyAlignment="1">
      <alignment vertical="center" wrapText="1"/>
    </xf>
    <xf numFmtId="175" fontId="49" fillId="4" borderId="0" xfId="0" applyNumberFormat="1" applyFont="1" applyFill="1" applyAlignment="1">
      <alignment horizontal="center" vertical="center" wrapText="1"/>
    </xf>
    <xf numFmtId="0" fontId="49" fillId="4" borderId="0" xfId="0" applyFont="1" applyFill="1" applyAlignment="1">
      <alignment horizontal="center" vertical="center" wrapText="1"/>
    </xf>
    <xf numFmtId="166" fontId="49" fillId="4" borderId="0" xfId="0" applyNumberFormat="1" applyFont="1" applyFill="1" applyAlignment="1">
      <alignment horizontal="center" vertical="center" wrapText="1"/>
    </xf>
    <xf numFmtId="175" fontId="49" fillId="4" borderId="0" xfId="0" quotePrefix="1" applyNumberFormat="1" applyFont="1" applyFill="1" applyAlignment="1">
      <alignment horizontal="center" vertical="center" wrapText="1"/>
    </xf>
    <xf numFmtId="175" fontId="49" fillId="4" borderId="8" xfId="0" quotePrefix="1" applyNumberFormat="1" applyFont="1" applyFill="1" applyBorder="1" applyAlignment="1">
      <alignment horizontal="center" vertical="center" wrapText="1"/>
    </xf>
    <xf numFmtId="0" fontId="49" fillId="4" borderId="8" xfId="0" applyFont="1" applyFill="1" applyBorder="1" applyAlignment="1">
      <alignment vertical="center" wrapText="1"/>
    </xf>
    <xf numFmtId="0" fontId="29" fillId="4" borderId="9" xfId="0" applyFont="1" applyFill="1" applyBorder="1" applyAlignment="1">
      <alignment vertical="center" wrapText="1"/>
    </xf>
    <xf numFmtId="0" fontId="49" fillId="0" borderId="0" xfId="0" applyFont="1"/>
    <xf numFmtId="3" fontId="36" fillId="0" borderId="0" xfId="0" applyNumberFormat="1" applyFont="1"/>
    <xf numFmtId="165" fontId="49" fillId="0" borderId="0" xfId="1" applyNumberFormat="1" applyFont="1"/>
    <xf numFmtId="3" fontId="30" fillId="0" borderId="34" xfId="0" applyNumberFormat="1" applyFont="1" applyBorder="1"/>
    <xf numFmtId="3" fontId="30" fillId="0" borderId="35" xfId="0" applyNumberFormat="1" applyFont="1" applyBorder="1"/>
    <xf numFmtId="0" fontId="30" fillId="0" borderId="35" xfId="0" applyFont="1" applyBorder="1" applyAlignment="1">
      <alignment horizontal="center"/>
    </xf>
    <xf numFmtId="0" fontId="30" fillId="0" borderId="36" xfId="0" applyFont="1" applyBorder="1"/>
    <xf numFmtId="0" fontId="0" fillId="0" borderId="4" xfId="0" applyBorder="1"/>
    <xf numFmtId="0" fontId="0" fillId="0" borderId="5" xfId="0" applyBorder="1"/>
    <xf numFmtId="0" fontId="0" fillId="0" borderId="7" xfId="0" applyBorder="1"/>
    <xf numFmtId="0" fontId="0" fillId="0" borderId="8" xfId="0" applyBorder="1"/>
    <xf numFmtId="0" fontId="0" fillId="0" borderId="8" xfId="0" applyBorder="1" applyAlignment="1">
      <alignment horizontal="center"/>
    </xf>
    <xf numFmtId="0" fontId="0" fillId="0" borderId="9" xfId="0" applyBorder="1"/>
    <xf numFmtId="0" fontId="38" fillId="0" borderId="1" xfId="0" applyFont="1" applyBorder="1"/>
    <xf numFmtId="0" fontId="53" fillId="0" borderId="2" xfId="0" applyFont="1" applyBorder="1"/>
    <xf numFmtId="3" fontId="0" fillId="0" borderId="2" xfId="0" applyNumberFormat="1" applyBorder="1" applyAlignment="1">
      <alignment horizontal="center"/>
    </xf>
    <xf numFmtId="0" fontId="0" fillId="0" borderId="2" xfId="0" applyBorder="1"/>
    <xf numFmtId="3" fontId="49" fillId="0" borderId="2" xfId="0" applyNumberFormat="1" applyFont="1" applyBorder="1" applyAlignment="1">
      <alignment horizontal="center"/>
    </xf>
    <xf numFmtId="0" fontId="49" fillId="0" borderId="2" xfId="0" applyFont="1" applyBorder="1"/>
    <xf numFmtId="3" fontId="49" fillId="0" borderId="3" xfId="0" applyNumberFormat="1" applyFont="1" applyBorder="1" applyAlignment="1">
      <alignment horizontal="center"/>
    </xf>
    <xf numFmtId="0" fontId="38" fillId="0" borderId="4" xfId="0" applyFont="1" applyBorder="1"/>
    <xf numFmtId="0" fontId="53" fillId="0" borderId="0" xfId="0" applyFont="1"/>
    <xf numFmtId="3" fontId="49" fillId="0" borderId="0" xfId="0" applyNumberFormat="1" applyFont="1" applyAlignment="1">
      <alignment horizontal="center"/>
    </xf>
    <xf numFmtId="3" fontId="49" fillId="0" borderId="5" xfId="0" applyNumberFormat="1" applyFont="1" applyBorder="1" applyAlignment="1">
      <alignment horizontal="center"/>
    </xf>
    <xf numFmtId="3" fontId="0" fillId="0" borderId="8" xfId="0" applyNumberFormat="1" applyBorder="1" applyAlignment="1">
      <alignment horizontal="center"/>
    </xf>
    <xf numFmtId="3" fontId="49" fillId="0" borderId="8" xfId="0" applyNumberFormat="1" applyFont="1" applyBorder="1" applyAlignment="1">
      <alignment horizontal="center"/>
    </xf>
    <xf numFmtId="0" fontId="49" fillId="0" borderId="8" xfId="0" applyFont="1" applyBorder="1"/>
    <xf numFmtId="3" fontId="49" fillId="0" borderId="9" xfId="0" applyNumberFormat="1" applyFont="1" applyBorder="1" applyAlignment="1">
      <alignment horizontal="center"/>
    </xf>
    <xf numFmtId="0" fontId="0" fillId="0" borderId="2" xfId="0" applyBorder="1" applyAlignment="1">
      <alignment horizontal="center"/>
    </xf>
    <xf numFmtId="0" fontId="0" fillId="0" borderId="3" xfId="0" quotePrefix="1" applyBorder="1"/>
    <xf numFmtId="0" fontId="38" fillId="0" borderId="28" xfId="4" applyFont="1" applyBorder="1"/>
    <xf numFmtId="0" fontId="38" fillId="0" borderId="30" xfId="4" applyFont="1" applyBorder="1"/>
    <xf numFmtId="175" fontId="0" fillId="0" borderId="30" xfId="0" applyNumberFormat="1" applyBorder="1"/>
    <xf numFmtId="3" fontId="38" fillId="0" borderId="30" xfId="4" applyNumberFormat="1" applyFont="1" applyBorder="1"/>
    <xf numFmtId="3" fontId="38" fillId="0" borderId="29" xfId="4" applyNumberFormat="1" applyFont="1" applyBorder="1"/>
    <xf numFmtId="0" fontId="0" fillId="0" borderId="34" xfId="0" applyBorder="1"/>
    <xf numFmtId="0" fontId="0" fillId="0" borderId="35" xfId="0" applyBorder="1"/>
    <xf numFmtId="3" fontId="0" fillId="0" borderId="35" xfId="0" applyNumberFormat="1" applyBorder="1" applyAlignment="1">
      <alignment horizontal="center"/>
    </xf>
    <xf numFmtId="0" fontId="0" fillId="0" borderId="36" xfId="0" applyBorder="1"/>
    <xf numFmtId="3" fontId="0" fillId="0" borderId="1" xfId="0" applyNumberFormat="1" applyBorder="1" applyAlignment="1">
      <alignment vertical="center"/>
    </xf>
    <xf numFmtId="3" fontId="0" fillId="0" borderId="2" xfId="0" applyNumberFormat="1" applyBorder="1" applyAlignment="1">
      <alignment vertical="center"/>
    </xf>
    <xf numFmtId="175" fontId="0" fillId="0" borderId="2" xfId="0" applyNumberFormat="1" applyBorder="1" applyAlignment="1">
      <alignment horizontal="center" vertical="center"/>
    </xf>
    <xf numFmtId="0" fontId="0" fillId="0" borderId="3" xfId="0" applyBorder="1" applyAlignment="1">
      <alignment vertical="center"/>
    </xf>
    <xf numFmtId="3" fontId="0" fillId="0" borderId="4" xfId="0" applyNumberFormat="1" applyBorder="1" applyAlignment="1">
      <alignment vertical="center"/>
    </xf>
    <xf numFmtId="3" fontId="0" fillId="0" borderId="0" xfId="0" applyNumberFormat="1" applyAlignment="1">
      <alignment vertical="center"/>
    </xf>
    <xf numFmtId="0" fontId="0" fillId="0" borderId="5" xfId="0" applyBorder="1" applyAlignment="1">
      <alignment vertical="center"/>
    </xf>
    <xf numFmtId="3" fontId="0" fillId="0" borderId="7" xfId="0" applyNumberFormat="1" applyBorder="1" applyAlignment="1">
      <alignment vertical="center"/>
    </xf>
    <xf numFmtId="3" fontId="0" fillId="0" borderId="8" xfId="0" applyNumberFormat="1" applyBorder="1" applyAlignment="1">
      <alignment vertical="center"/>
    </xf>
    <xf numFmtId="175" fontId="0" fillId="0" borderId="8" xfId="0" applyNumberFormat="1" applyBorder="1" applyAlignment="1">
      <alignment horizontal="center" vertical="center"/>
    </xf>
    <xf numFmtId="0" fontId="0" fillId="0" borderId="9" xfId="0" applyBorder="1" applyAlignment="1">
      <alignment vertical="center"/>
    </xf>
    <xf numFmtId="3" fontId="49" fillId="0" borderId="0" xfId="0" applyNumberFormat="1" applyFont="1"/>
    <xf numFmtId="176" fontId="0" fillId="0" borderId="0" xfId="0" applyNumberFormat="1" applyAlignment="1">
      <alignment horizontal="center" vertical="center"/>
    </xf>
    <xf numFmtId="176" fontId="0" fillId="0" borderId="8" xfId="0" applyNumberFormat="1" applyBorder="1" applyAlignment="1">
      <alignment horizontal="center" vertical="center"/>
    </xf>
    <xf numFmtId="3" fontId="0" fillId="0" borderId="2" xfId="0" applyNumberFormat="1" applyBorder="1" applyAlignment="1">
      <alignment horizontal="center" vertical="center"/>
    </xf>
    <xf numFmtId="2" fontId="49" fillId="0" borderId="0" xfId="0" applyNumberFormat="1" applyFont="1"/>
    <xf numFmtId="0" fontId="49" fillId="0" borderId="0" xfId="0" applyFont="1" applyAlignment="1">
      <alignment horizontal="center"/>
    </xf>
    <xf numFmtId="0" fontId="29" fillId="0" borderId="32" xfId="7" applyBorder="1" applyAlignment="1">
      <alignment vertical="center"/>
    </xf>
    <xf numFmtId="0" fontId="29" fillId="0" borderId="27" xfId="7" applyBorder="1"/>
    <xf numFmtId="3" fontId="0" fillId="0" borderId="37" xfId="0" applyNumberFormat="1" applyBorder="1"/>
    <xf numFmtId="3" fontId="0" fillId="0" borderId="19" xfId="0" applyNumberFormat="1" applyBorder="1"/>
    <xf numFmtId="4" fontId="0" fillId="0" borderId="19" xfId="0" applyNumberFormat="1" applyBorder="1" applyAlignment="1">
      <alignment horizontal="center"/>
    </xf>
    <xf numFmtId="0" fontId="0" fillId="0" borderId="19" xfId="0" applyBorder="1"/>
    <xf numFmtId="4" fontId="49" fillId="0" borderId="19" xfId="0" applyNumberFormat="1" applyFont="1" applyBorder="1" applyAlignment="1">
      <alignment horizontal="center"/>
    </xf>
    <xf numFmtId="0" fontId="49" fillId="0" borderId="19" xfId="0" applyFont="1" applyBorder="1"/>
    <xf numFmtId="4" fontId="49" fillId="0" borderId="38" xfId="0" applyNumberFormat="1" applyFont="1" applyBorder="1" applyAlignment="1">
      <alignment horizontal="center"/>
    </xf>
    <xf numFmtId="3" fontId="0" fillId="0" borderId="39" xfId="0" applyNumberFormat="1" applyBorder="1"/>
    <xf numFmtId="3" fontId="0" fillId="0" borderId="25" xfId="0" applyNumberFormat="1" applyBorder="1"/>
    <xf numFmtId="3" fontId="0" fillId="0" borderId="25" xfId="0" applyNumberFormat="1" applyBorder="1" applyAlignment="1">
      <alignment horizontal="center"/>
    </xf>
    <xf numFmtId="0" fontId="0" fillId="0" borderId="25" xfId="0" applyBorder="1"/>
    <xf numFmtId="3" fontId="49" fillId="0" borderId="25" xfId="0" applyNumberFormat="1" applyFont="1" applyBorder="1" applyAlignment="1">
      <alignment horizontal="center"/>
    </xf>
    <xf numFmtId="3" fontId="49" fillId="0" borderId="40" xfId="0" applyNumberFormat="1" applyFont="1" applyBorder="1" applyAlignment="1">
      <alignment horizontal="center"/>
    </xf>
    <xf numFmtId="3" fontId="0" fillId="0" borderId="4" xfId="0" applyNumberFormat="1" applyBorder="1"/>
    <xf numFmtId="3" fontId="0" fillId="0" borderId="7" xfId="0" applyNumberFormat="1" applyBorder="1"/>
    <xf numFmtId="3" fontId="0" fillId="0" borderId="8" xfId="0" applyNumberFormat="1" applyBorder="1"/>
    <xf numFmtId="175" fontId="0" fillId="0" borderId="8" xfId="0" applyNumberFormat="1" applyBorder="1" applyAlignment="1">
      <alignment horizontal="center"/>
    </xf>
    <xf numFmtId="3" fontId="0" fillId="0" borderId="19" xfId="0" applyNumberFormat="1" applyBorder="1" applyAlignment="1">
      <alignment horizontal="center"/>
    </xf>
    <xf numFmtId="3" fontId="49" fillId="0" borderId="19" xfId="0" applyNumberFormat="1" applyFont="1" applyBorder="1" applyAlignment="1">
      <alignment horizontal="center"/>
    </xf>
    <xf numFmtId="3" fontId="49" fillId="0" borderId="19" xfId="0" applyNumberFormat="1" applyFont="1" applyBorder="1"/>
    <xf numFmtId="3" fontId="49" fillId="0" borderId="38" xfId="0" applyNumberFormat="1" applyFont="1" applyBorder="1" applyAlignment="1">
      <alignment horizontal="center"/>
    </xf>
    <xf numFmtId="3" fontId="0" fillId="0" borderId="1" xfId="0" applyNumberFormat="1" applyBorder="1"/>
    <xf numFmtId="3" fontId="0" fillId="0" borderId="2" xfId="0" applyNumberFormat="1" applyBorder="1"/>
    <xf numFmtId="4" fontId="0" fillId="0" borderId="2" xfId="0" applyNumberFormat="1" applyBorder="1" applyAlignment="1">
      <alignment horizontal="center"/>
    </xf>
    <xf numFmtId="4" fontId="49" fillId="0" borderId="2" xfId="0" applyNumberFormat="1" applyFont="1" applyBorder="1" applyAlignment="1">
      <alignment horizontal="center"/>
    </xf>
    <xf numFmtId="4" fontId="49" fillId="0" borderId="3" xfId="0" applyNumberFormat="1" applyFont="1" applyBorder="1" applyAlignment="1">
      <alignment horizontal="center"/>
    </xf>
    <xf numFmtId="4" fontId="49" fillId="0" borderId="0" xfId="0" applyNumberFormat="1" applyFont="1" applyAlignment="1">
      <alignment horizontal="center"/>
    </xf>
    <xf numFmtId="4" fontId="49" fillId="0" borderId="5" xfId="0" applyNumberFormat="1" applyFont="1" applyBorder="1" applyAlignment="1">
      <alignment horizontal="center"/>
    </xf>
    <xf numFmtId="4" fontId="0" fillId="0" borderId="8" xfId="0" applyNumberFormat="1" applyBorder="1" applyAlignment="1">
      <alignment horizontal="center"/>
    </xf>
    <xf numFmtId="4" fontId="49" fillId="0" borderId="8" xfId="0" applyNumberFormat="1" applyFont="1" applyBorder="1" applyAlignment="1">
      <alignment horizontal="center"/>
    </xf>
    <xf numFmtId="4" fontId="49" fillId="0" borderId="9" xfId="0" applyNumberFormat="1" applyFont="1" applyBorder="1" applyAlignment="1">
      <alignment horizontal="center"/>
    </xf>
    <xf numFmtId="0" fontId="54" fillId="0" borderId="0" xfId="0" applyFont="1" applyAlignment="1">
      <alignment horizontal="center"/>
    </xf>
    <xf numFmtId="0" fontId="29" fillId="0" borderId="0" xfId="8"/>
    <xf numFmtId="0" fontId="29" fillId="0" borderId="21" xfId="8" applyBorder="1" applyAlignment="1">
      <alignment horizontal="center"/>
    </xf>
    <xf numFmtId="3" fontId="29" fillId="0" borderId="22" xfId="8" applyNumberFormat="1" applyBorder="1" applyAlignment="1">
      <alignment horizontal="center"/>
    </xf>
    <xf numFmtId="0" fontId="31" fillId="0" borderId="0" xfId="9" applyFont="1"/>
    <xf numFmtId="0" fontId="31" fillId="0" borderId="0" xfId="9" applyFont="1" applyAlignment="1">
      <alignment horizontal="center"/>
    </xf>
    <xf numFmtId="0" fontId="31" fillId="0" borderId="0" xfId="8" applyFont="1"/>
    <xf numFmtId="0" fontId="31" fillId="0" borderId="0" xfId="8" applyFont="1" applyAlignment="1">
      <alignment horizontal="center"/>
    </xf>
    <xf numFmtId="175" fontId="31" fillId="0" borderId="0" xfId="9" applyNumberFormat="1" applyFont="1" applyAlignment="1">
      <alignment horizontal="center"/>
    </xf>
    <xf numFmtId="3" fontId="31" fillId="0" borderId="0" xfId="9" applyNumberFormat="1" applyFont="1" applyAlignment="1">
      <alignment horizontal="center"/>
    </xf>
    <xf numFmtId="0" fontId="31" fillId="0" borderId="0" xfId="7" applyFont="1"/>
    <xf numFmtId="0" fontId="3" fillId="0" borderId="0" xfId="3" applyFill="1" applyBorder="1" applyAlignment="1" applyProtection="1"/>
    <xf numFmtId="0" fontId="0" fillId="6" borderId="0" xfId="0" applyFill="1"/>
    <xf numFmtId="9" fontId="0" fillId="0" borderId="0" xfId="5" applyFont="1"/>
    <xf numFmtId="0" fontId="1" fillId="0" borderId="0" xfId="0" applyFont="1"/>
    <xf numFmtId="0" fontId="1" fillId="8" borderId="0" xfId="0" applyFont="1" applyFill="1"/>
    <xf numFmtId="0" fontId="0" fillId="8" borderId="0" xfId="0" applyFill="1"/>
    <xf numFmtId="0" fontId="2" fillId="4" borderId="0" xfId="0" applyFont="1" applyFill="1" applyAlignment="1">
      <alignment horizontal="left" vertical="top"/>
    </xf>
    <xf numFmtId="0" fontId="0" fillId="0" borderId="0" xfId="5" applyNumberFormat="1" applyFont="1"/>
    <xf numFmtId="0" fontId="0" fillId="0" borderId="30" xfId="0" applyBorder="1"/>
    <xf numFmtId="43" fontId="0" fillId="0" borderId="0" xfId="1" applyFont="1"/>
    <xf numFmtId="0" fontId="2" fillId="4" borderId="32" xfId="0" applyFont="1" applyFill="1" applyBorder="1" applyAlignment="1">
      <alignment horizontal="left" indent="2"/>
    </xf>
    <xf numFmtId="178" fontId="2" fillId="4" borderId="0" xfId="0" applyNumberFormat="1" applyFont="1" applyFill="1" applyAlignment="1">
      <alignment horizontal="center"/>
    </xf>
    <xf numFmtId="3" fontId="0" fillId="3" borderId="6" xfId="0" quotePrefix="1" applyNumberFormat="1" applyFill="1" applyBorder="1" applyAlignment="1" applyProtection="1">
      <alignment horizontal="center"/>
      <protection locked="0"/>
    </xf>
    <xf numFmtId="0" fontId="0" fillId="9" borderId="5" xfId="0" applyFill="1" applyBorder="1"/>
    <xf numFmtId="3" fontId="0" fillId="3" borderId="6" xfId="0" applyNumberFormat="1" applyFill="1" applyBorder="1" applyProtection="1">
      <protection locked="0"/>
    </xf>
    <xf numFmtId="0" fontId="1" fillId="9" borderId="5" xfId="0" applyFont="1" applyFill="1" applyBorder="1"/>
    <xf numFmtId="0" fontId="0" fillId="3" borderId="6" xfId="0" applyFill="1" applyBorder="1" applyProtection="1">
      <protection locked="0"/>
    </xf>
    <xf numFmtId="166" fontId="0" fillId="0" borderId="0" xfId="5" applyNumberFormat="1" applyFont="1"/>
    <xf numFmtId="0" fontId="0" fillId="3" borderId="6" xfId="0" applyFill="1" applyBorder="1" applyAlignment="1" applyProtection="1">
      <alignment horizontal="center"/>
      <protection locked="0"/>
    </xf>
    <xf numFmtId="0" fontId="0" fillId="3" borderId="31" xfId="0" applyFill="1" applyBorder="1" applyAlignment="1" applyProtection="1">
      <alignment vertical="center" wrapText="1"/>
      <protection locked="0"/>
    </xf>
    <xf numFmtId="0" fontId="0" fillId="9" borderId="0" xfId="0" applyFill="1"/>
    <xf numFmtId="0" fontId="33" fillId="9" borderId="0" xfId="0" applyFont="1" applyFill="1" applyAlignment="1">
      <alignment horizontal="right" indent="5"/>
    </xf>
    <xf numFmtId="0" fontId="0" fillId="9" borderId="0" xfId="0" applyFill="1" applyAlignment="1">
      <alignment horizontal="right" indent="5"/>
    </xf>
    <xf numFmtId="0" fontId="9" fillId="9" borderId="0" xfId="0" applyFont="1" applyFill="1"/>
    <xf numFmtId="0" fontId="32" fillId="9" borderId="0" xfId="0" applyFont="1" applyFill="1"/>
    <xf numFmtId="0" fontId="7" fillId="9" borderId="0" xfId="0" applyFont="1" applyFill="1"/>
    <xf numFmtId="0" fontId="33" fillId="9" borderId="0" xfId="0" applyFont="1" applyFill="1"/>
    <xf numFmtId="0" fontId="1" fillId="9" borderId="0" xfId="0" applyFont="1" applyFill="1"/>
    <xf numFmtId="0" fontId="10" fillId="9" borderId="0" xfId="0" applyFont="1" applyFill="1"/>
    <xf numFmtId="0" fontId="11" fillId="9" borderId="0" xfId="0" applyFont="1" applyFill="1" applyAlignment="1">
      <alignment horizontal="left"/>
    </xf>
    <xf numFmtId="0" fontId="55" fillId="0" borderId="4" xfId="0" applyFont="1" applyBorder="1" applyProtection="1">
      <protection hidden="1"/>
    </xf>
    <xf numFmtId="2" fontId="55" fillId="0" borderId="0" xfId="0" applyNumberFormat="1" applyFont="1" applyProtection="1">
      <protection locked="0"/>
    </xf>
    <xf numFmtId="0" fontId="55" fillId="0" borderId="0" xfId="0" applyFont="1" applyProtection="1">
      <protection hidden="1"/>
    </xf>
    <xf numFmtId="43" fontId="55" fillId="0" borderId="0" xfId="0" applyNumberFormat="1" applyFont="1" applyProtection="1">
      <protection locked="0"/>
    </xf>
    <xf numFmtId="1" fontId="55" fillId="0" borderId="0" xfId="0" applyNumberFormat="1" applyFont="1" applyProtection="1">
      <protection locked="0"/>
    </xf>
    <xf numFmtId="0" fontId="55" fillId="0" borderId="0" xfId="0" applyFont="1"/>
    <xf numFmtId="0" fontId="55" fillId="0" borderId="0" xfId="0" applyFont="1" applyProtection="1">
      <protection locked="0"/>
    </xf>
    <xf numFmtId="165" fontId="55" fillId="0" borderId="0" xfId="1" applyNumberFormat="1" applyFont="1" applyBorder="1" applyProtection="1">
      <protection locked="0"/>
    </xf>
    <xf numFmtId="0" fontId="55" fillId="0" borderId="0" xfId="0" applyFont="1" applyAlignment="1" applyProtection="1">
      <alignment horizontal="right"/>
      <protection locked="0"/>
    </xf>
    <xf numFmtId="3" fontId="1" fillId="0" borderId="0" xfId="0" applyNumberFormat="1" applyFont="1"/>
    <xf numFmtId="2" fontId="0" fillId="0" borderId="30" xfId="0" applyNumberFormat="1" applyBorder="1" applyProtection="1">
      <protection locked="0"/>
    </xf>
    <xf numFmtId="2" fontId="0" fillId="0" borderId="30" xfId="0" applyNumberFormat="1" applyBorder="1"/>
    <xf numFmtId="0" fontId="1" fillId="0" borderId="0" xfId="0" applyFont="1" applyProtection="1">
      <protection hidden="1"/>
    </xf>
    <xf numFmtId="165" fontId="0" fillId="0" borderId="0" xfId="1" applyNumberFormat="1" applyFont="1"/>
    <xf numFmtId="174" fontId="55" fillId="0" borderId="0" xfId="0" applyNumberFormat="1" applyFont="1" applyProtection="1">
      <protection locked="0"/>
    </xf>
    <xf numFmtId="173" fontId="55" fillId="0" borderId="0" xfId="0" applyNumberFormat="1" applyFont="1" applyProtection="1">
      <protection locked="0"/>
    </xf>
    <xf numFmtId="172" fontId="0" fillId="9" borderId="0" xfId="0" applyNumberFormat="1" applyFill="1"/>
    <xf numFmtId="4" fontId="0" fillId="3" borderId="6" xfId="0" applyNumberFormat="1" applyFill="1" applyBorder="1"/>
    <xf numFmtId="1" fontId="0" fillId="9" borderId="0" xfId="0" applyNumberFormat="1" applyFill="1"/>
    <xf numFmtId="0" fontId="2" fillId="10" borderId="0" xfId="0" applyFont="1" applyFill="1"/>
    <xf numFmtId="0" fontId="2" fillId="10" borderId="10" xfId="0" applyFont="1" applyFill="1" applyBorder="1"/>
    <xf numFmtId="165" fontId="18" fillId="0" borderId="0" xfId="1" applyNumberFormat="1" applyFont="1" applyFill="1" applyAlignment="1">
      <alignment horizontal="left"/>
    </xf>
    <xf numFmtId="0" fontId="2" fillId="6" borderId="0" xfId="0" applyFont="1" applyFill="1" applyProtection="1">
      <protection locked="0"/>
    </xf>
    <xf numFmtId="0" fontId="18" fillId="0" borderId="0" xfId="0" applyFont="1" applyProtection="1">
      <protection locked="0"/>
    </xf>
    <xf numFmtId="166" fontId="1" fillId="0" borderId="0" xfId="0" applyNumberFormat="1" applyFont="1"/>
    <xf numFmtId="4" fontId="49" fillId="11" borderId="0" xfId="0" applyNumberFormat="1" applyFont="1" applyFill="1" applyAlignment="1">
      <alignment horizontal="center" vertical="center" wrapText="1"/>
    </xf>
    <xf numFmtId="0" fontId="1" fillId="9" borderId="0" xfId="0" applyFont="1" applyFill="1" applyAlignment="1">
      <alignment horizontal="right" indent="7"/>
    </xf>
    <xf numFmtId="0" fontId="1" fillId="6" borderId="0" xfId="0" applyFont="1" applyFill="1"/>
    <xf numFmtId="0" fontId="1" fillId="7" borderId="0" xfId="0" applyFont="1" applyFill="1"/>
    <xf numFmtId="0" fontId="1" fillId="0" borderId="0" xfId="0" applyFont="1" applyAlignment="1">
      <alignment horizontal="center"/>
    </xf>
    <xf numFmtId="0" fontId="1" fillId="0" borderId="0" xfId="0" applyFont="1" applyAlignment="1">
      <alignment wrapText="1"/>
    </xf>
    <xf numFmtId="0" fontId="1" fillId="0" borderId="0" xfId="0" applyFont="1" applyProtection="1">
      <protection locked="0"/>
    </xf>
    <xf numFmtId="172" fontId="1" fillId="0" borderId="0" xfId="0" applyNumberFormat="1" applyFont="1" applyAlignment="1" applyProtection="1">
      <alignment horizontal="center"/>
      <protection locked="0"/>
    </xf>
    <xf numFmtId="174" fontId="1" fillId="0" borderId="0" xfId="0" applyNumberFormat="1" applyFont="1" applyProtection="1">
      <protection locked="0"/>
    </xf>
    <xf numFmtId="172" fontId="1" fillId="0" borderId="0" xfId="0" applyNumberFormat="1" applyFont="1" applyProtection="1">
      <protection locked="0"/>
    </xf>
    <xf numFmtId="2" fontId="1" fillId="0" borderId="0" xfId="0" applyNumberFormat="1" applyFont="1"/>
    <xf numFmtId="4" fontId="1" fillId="0" borderId="0" xfId="0" applyNumberFormat="1" applyFont="1"/>
    <xf numFmtId="172" fontId="1" fillId="0" borderId="0" xfId="0" applyNumberFormat="1" applyFont="1"/>
    <xf numFmtId="0" fontId="1" fillId="0" borderId="8" xfId="0" applyFont="1" applyBorder="1" applyAlignment="1">
      <alignment wrapText="1"/>
    </xf>
    <xf numFmtId="0" fontId="1" fillId="10" borderId="0" xfId="0" applyFont="1" applyFill="1"/>
    <xf numFmtId="0" fontId="1" fillId="10" borderId="11" xfId="0" applyFont="1" applyFill="1" applyBorder="1"/>
    <xf numFmtId="0" fontId="1" fillId="10" borderId="12" xfId="0" applyFont="1" applyFill="1" applyBorder="1"/>
    <xf numFmtId="0" fontId="1" fillId="10" borderId="0" xfId="0" applyFont="1" applyFill="1" applyAlignment="1">
      <alignment horizontal="center" wrapText="1"/>
    </xf>
    <xf numFmtId="0" fontId="1" fillId="10" borderId="13" xfId="0" applyFont="1" applyFill="1" applyBorder="1"/>
    <xf numFmtId="0" fontId="1" fillId="0" borderId="0" xfId="0" applyFont="1" applyAlignment="1">
      <alignment horizontal="center" wrapText="1"/>
    </xf>
    <xf numFmtId="165" fontId="1" fillId="10" borderId="0" xfId="1" applyNumberFormat="1" applyFont="1" applyFill="1" applyAlignment="1">
      <alignment horizontal="left" wrapText="1"/>
    </xf>
    <xf numFmtId="165" fontId="1" fillId="10" borderId="13" xfId="1" applyNumberFormat="1" applyFont="1" applyFill="1" applyBorder="1"/>
    <xf numFmtId="165" fontId="1" fillId="10" borderId="0" xfId="0" applyNumberFormat="1" applyFont="1" applyFill="1"/>
    <xf numFmtId="165" fontId="1" fillId="0" borderId="0" xfId="1" applyNumberFormat="1" applyFont="1" applyFill="1" applyAlignment="1">
      <alignment horizontal="center" wrapText="1"/>
    </xf>
    <xf numFmtId="165" fontId="1" fillId="10" borderId="13" xfId="1" applyNumberFormat="1" applyFont="1" applyFill="1" applyBorder="1" applyProtection="1">
      <protection locked="0"/>
    </xf>
    <xf numFmtId="43" fontId="1" fillId="10" borderId="13" xfId="1" applyFont="1" applyFill="1" applyBorder="1" applyProtection="1">
      <protection locked="0"/>
    </xf>
    <xf numFmtId="43" fontId="1" fillId="10" borderId="0" xfId="1" applyFont="1" applyFill="1"/>
    <xf numFmtId="0" fontId="1" fillId="10" borderId="13" xfId="0" applyFont="1" applyFill="1" applyBorder="1" applyProtection="1">
      <protection locked="0"/>
    </xf>
    <xf numFmtId="166" fontId="1" fillId="10" borderId="13" xfId="1" applyNumberFormat="1" applyFont="1" applyFill="1" applyBorder="1" applyProtection="1">
      <protection locked="0"/>
    </xf>
    <xf numFmtId="166" fontId="1" fillId="10" borderId="0" xfId="0" applyNumberFormat="1" applyFont="1" applyFill="1"/>
    <xf numFmtId="9" fontId="1" fillId="10" borderId="0" xfId="0" applyNumberFormat="1" applyFont="1" applyFill="1"/>
    <xf numFmtId="169" fontId="1" fillId="10" borderId="13" xfId="1" applyNumberFormat="1" applyFont="1" applyFill="1" applyBorder="1" applyProtection="1">
      <protection locked="0"/>
    </xf>
    <xf numFmtId="169" fontId="1" fillId="10" borderId="0" xfId="0" applyNumberFormat="1" applyFont="1" applyFill="1"/>
    <xf numFmtId="171" fontId="1" fillId="10" borderId="13" xfId="1" applyNumberFormat="1" applyFont="1" applyFill="1" applyBorder="1" applyProtection="1">
      <protection locked="0"/>
    </xf>
    <xf numFmtId="171" fontId="1" fillId="10" borderId="0" xfId="0" applyNumberFormat="1" applyFont="1" applyFill="1"/>
    <xf numFmtId="165" fontId="1" fillId="10" borderId="18" xfId="1" applyNumberFormat="1" applyFont="1" applyFill="1" applyBorder="1" applyProtection="1">
      <protection locked="0"/>
    </xf>
    <xf numFmtId="1" fontId="1" fillId="10" borderId="0" xfId="0" applyNumberFormat="1" applyFont="1" applyFill="1"/>
    <xf numFmtId="0" fontId="1" fillId="10" borderId="0" xfId="0" applyFont="1" applyFill="1" applyProtection="1">
      <protection locked="0"/>
    </xf>
    <xf numFmtId="166" fontId="1" fillId="10" borderId="0" xfId="0" applyNumberFormat="1" applyFont="1" applyFill="1" applyProtection="1">
      <protection locked="0"/>
    </xf>
    <xf numFmtId="9" fontId="1" fillId="10" borderId="0" xfId="0" applyNumberFormat="1" applyFont="1" applyFill="1" applyProtection="1">
      <protection locked="0"/>
    </xf>
    <xf numFmtId="168" fontId="1" fillId="0" borderId="0" xfId="1" applyNumberFormat="1" applyFont="1" applyFill="1"/>
    <xf numFmtId="43" fontId="1" fillId="0" borderId="0" xfId="1" applyFont="1" applyFill="1"/>
    <xf numFmtId="169" fontId="1" fillId="0" borderId="0" xfId="1" applyNumberFormat="1" applyFont="1" applyFill="1"/>
    <xf numFmtId="165" fontId="1" fillId="0" borderId="0" xfId="1" applyNumberFormat="1" applyFont="1" applyFill="1"/>
    <xf numFmtId="170" fontId="1" fillId="0" borderId="0" xfId="1" applyNumberFormat="1" applyFont="1" applyFill="1"/>
    <xf numFmtId="167" fontId="1" fillId="0" borderId="0" xfId="5" applyNumberFormat="1" applyFont="1" applyFill="1"/>
    <xf numFmtId="10" fontId="1" fillId="0" borderId="0" xfId="1" applyNumberFormat="1" applyFont="1" applyFill="1"/>
    <xf numFmtId="164" fontId="1" fillId="0" borderId="0" xfId="1" applyNumberFormat="1" applyFont="1" applyFill="1"/>
    <xf numFmtId="0" fontId="1" fillId="0" borderId="4" xfId="0" applyFont="1" applyBorder="1" applyProtection="1">
      <protection hidden="1"/>
    </xf>
    <xf numFmtId="2" fontId="1" fillId="0" borderId="0" xfId="0" applyNumberFormat="1" applyFont="1" applyProtection="1">
      <protection locked="0"/>
    </xf>
    <xf numFmtId="2" fontId="1" fillId="0" borderId="0" xfId="0" quotePrefix="1" applyNumberFormat="1" applyFont="1" applyProtection="1">
      <protection locked="0"/>
    </xf>
    <xf numFmtId="9" fontId="1" fillId="0" borderId="0" xfId="0" applyNumberFormat="1" applyFont="1" applyProtection="1">
      <protection locked="0"/>
    </xf>
    <xf numFmtId="0" fontId="1" fillId="0" borderId="0" xfId="0" quotePrefix="1" applyFont="1" applyProtection="1">
      <protection locked="0"/>
    </xf>
    <xf numFmtId="0" fontId="1" fillId="6" borderId="0" xfId="0" applyFont="1" applyFill="1" applyAlignment="1" applyProtection="1">
      <alignment horizontal="right"/>
      <protection locked="0"/>
    </xf>
    <xf numFmtId="0" fontId="1" fillId="0" borderId="0" xfId="0" applyFont="1" applyAlignment="1" applyProtection="1">
      <alignment horizontal="right"/>
      <protection locked="0"/>
    </xf>
    <xf numFmtId="0" fontId="57" fillId="9" borderId="0" xfId="0" applyFont="1" applyFill="1"/>
    <xf numFmtId="165" fontId="2" fillId="0" borderId="0" xfId="0" applyNumberFormat="1" applyFont="1"/>
    <xf numFmtId="3" fontId="2" fillId="0" borderId="0" xfId="0" applyNumberFormat="1" applyFont="1"/>
    <xf numFmtId="0" fontId="57" fillId="0" borderId="0" xfId="0" applyFont="1"/>
    <xf numFmtId="166" fontId="1" fillId="0" borderId="0" xfId="5" applyNumberFormat="1" applyFont="1"/>
    <xf numFmtId="0" fontId="18" fillId="6" borderId="0" xfId="0" applyFont="1" applyFill="1"/>
    <xf numFmtId="0" fontId="21" fillId="10" borderId="0" xfId="0" applyFont="1" applyFill="1"/>
    <xf numFmtId="2" fontId="21" fillId="10" borderId="0" xfId="0" applyNumberFormat="1" applyFont="1" applyFill="1"/>
    <xf numFmtId="0" fontId="22" fillId="10" borderId="0" xfId="0" applyFont="1" applyFill="1" applyAlignment="1">
      <alignment horizontal="center"/>
    </xf>
    <xf numFmtId="0" fontId="0" fillId="0" borderId="26" xfId="0" applyBorder="1" applyAlignment="1" applyProtection="1">
      <alignment vertical="center" wrapText="1"/>
      <protection locked="0"/>
    </xf>
    <xf numFmtId="0" fontId="0" fillId="3" borderId="6" xfId="0" applyFill="1" applyBorder="1" applyAlignment="1" applyProtection="1">
      <alignment vertical="center" wrapText="1"/>
      <protection locked="0"/>
    </xf>
    <xf numFmtId="0" fontId="30" fillId="4" borderId="0" xfId="0" applyFont="1" applyFill="1" applyAlignment="1">
      <alignment vertical="center"/>
    </xf>
    <xf numFmtId="0" fontId="0" fillId="7" borderId="1" xfId="0" applyFill="1" applyBorder="1"/>
    <xf numFmtId="0" fontId="58" fillId="0" borderId="0" xfId="7" applyFont="1"/>
    <xf numFmtId="175" fontId="0" fillId="3" borderId="6" xfId="0" applyNumberFormat="1" applyFill="1" applyBorder="1" applyAlignment="1" applyProtection="1">
      <alignment horizontal="center"/>
      <protection locked="0"/>
    </xf>
    <xf numFmtId="4" fontId="0" fillId="3" borderId="6" xfId="0" applyNumberFormat="1" applyFill="1" applyBorder="1" applyAlignment="1" applyProtection="1">
      <alignment horizontal="center"/>
      <protection locked="0"/>
    </xf>
    <xf numFmtId="0" fontId="29" fillId="7" borderId="23" xfId="7" applyFill="1" applyBorder="1" applyAlignment="1">
      <alignment vertical="center"/>
    </xf>
    <xf numFmtId="175" fontId="29" fillId="7" borderId="25" xfId="7" applyNumberFormat="1" applyFill="1" applyBorder="1" applyAlignment="1">
      <alignment horizontal="center"/>
    </xf>
    <xf numFmtId="3" fontId="29" fillId="7" borderId="24" xfId="7" applyNumberFormat="1" applyFill="1" applyBorder="1" applyAlignment="1">
      <alignment horizontal="center"/>
    </xf>
    <xf numFmtId="0" fontId="29" fillId="7" borderId="32" xfId="7" applyFill="1" applyBorder="1" applyAlignment="1">
      <alignment vertical="center"/>
    </xf>
    <xf numFmtId="175" fontId="29" fillId="7" borderId="0" xfId="7" applyNumberFormat="1" applyFill="1" applyAlignment="1">
      <alignment horizontal="center"/>
    </xf>
    <xf numFmtId="3" fontId="29" fillId="7" borderId="27" xfId="7" applyNumberFormat="1" applyFill="1" applyBorder="1" applyAlignment="1">
      <alignment horizontal="center"/>
    </xf>
    <xf numFmtId="175" fontId="29" fillId="7" borderId="30" xfId="7" applyNumberFormat="1" applyFill="1" applyBorder="1" applyAlignment="1">
      <alignment horizontal="center"/>
    </xf>
    <xf numFmtId="3" fontId="29" fillId="7" borderId="29" xfId="7" applyNumberFormat="1" applyFill="1" applyBorder="1" applyAlignment="1">
      <alignment horizontal="center"/>
    </xf>
    <xf numFmtId="0" fontId="29" fillId="7" borderId="20" xfId="7" applyFill="1" applyBorder="1" applyAlignment="1">
      <alignment vertical="center"/>
    </xf>
    <xf numFmtId="175" fontId="29" fillId="7" borderId="21" xfId="7" applyNumberFormat="1" applyFill="1" applyBorder="1" applyAlignment="1">
      <alignment horizontal="center"/>
    </xf>
    <xf numFmtId="3" fontId="29" fillId="7" borderId="22" xfId="7" applyNumberFormat="1" applyFill="1" applyBorder="1" applyAlignment="1">
      <alignment horizontal="center"/>
    </xf>
    <xf numFmtId="175" fontId="31" fillId="7" borderId="0" xfId="8" applyNumberFormat="1" applyFont="1" applyFill="1" applyAlignment="1">
      <alignment horizontal="center"/>
    </xf>
    <xf numFmtId="3" fontId="31" fillId="7" borderId="27" xfId="8" applyNumberFormat="1" applyFont="1" applyFill="1" applyBorder="1" applyAlignment="1">
      <alignment horizontal="center"/>
    </xf>
    <xf numFmtId="0" fontId="29" fillId="7" borderId="28" xfId="7" applyFill="1" applyBorder="1" applyAlignment="1">
      <alignment vertical="center"/>
    </xf>
    <xf numFmtId="177" fontId="38" fillId="7" borderId="21" xfId="4" quotePrefix="1" applyNumberFormat="1" applyFont="1" applyFill="1" applyBorder="1" applyAlignment="1">
      <alignment horizontal="left"/>
    </xf>
    <xf numFmtId="4" fontId="38" fillId="7" borderId="21" xfId="4" quotePrefix="1" applyNumberFormat="1" applyFont="1" applyFill="1" applyBorder="1" applyAlignment="1">
      <alignment horizontal="left"/>
    </xf>
    <xf numFmtId="174" fontId="38" fillId="7" borderId="21" xfId="4" applyNumberFormat="1" applyFont="1" applyFill="1" applyBorder="1" applyAlignment="1">
      <alignment horizontal="left"/>
    </xf>
    <xf numFmtId="0" fontId="38" fillId="7" borderId="0" xfId="4" applyFont="1" applyFill="1"/>
    <xf numFmtId="0" fontId="0" fillId="7" borderId="20" xfId="0" applyFill="1" applyBorder="1" applyAlignment="1">
      <alignment vertical="center"/>
    </xf>
    <xf numFmtId="175" fontId="0" fillId="7" borderId="20" xfId="0" applyNumberFormat="1" applyFill="1" applyBorder="1" applyAlignment="1">
      <alignment horizontal="center" vertical="center"/>
    </xf>
    <xf numFmtId="175" fontId="0" fillId="7" borderId="21" xfId="0" applyNumberFormat="1" applyFill="1" applyBorder="1" applyAlignment="1">
      <alignment horizontal="center" vertical="center"/>
    </xf>
    <xf numFmtId="175" fontId="0" fillId="7" borderId="22" xfId="0" applyNumberFormat="1" applyFill="1" applyBorder="1" applyAlignment="1">
      <alignment horizontal="center" vertical="center"/>
    </xf>
    <xf numFmtId="3" fontId="0" fillId="7" borderId="6" xfId="0" applyNumberFormat="1" applyFill="1" applyBorder="1" applyAlignment="1">
      <alignment horizontal="center" vertical="center"/>
    </xf>
    <xf numFmtId="0" fontId="0" fillId="7" borderId="32" xfId="0" applyFill="1" applyBorder="1" applyAlignment="1">
      <alignment vertical="center"/>
    </xf>
    <xf numFmtId="175" fontId="0" fillId="7" borderId="32" xfId="0" applyNumberFormat="1" applyFill="1" applyBorder="1" applyAlignment="1">
      <alignment horizontal="center" vertical="center"/>
    </xf>
    <xf numFmtId="175" fontId="0" fillId="7" borderId="0" xfId="0" applyNumberFormat="1" applyFill="1" applyAlignment="1">
      <alignment horizontal="center" vertical="center"/>
    </xf>
    <xf numFmtId="175" fontId="0" fillId="7" borderId="27" xfId="0" applyNumberFormat="1" applyFill="1" applyBorder="1" applyAlignment="1">
      <alignment horizontal="center" vertical="center"/>
    </xf>
    <xf numFmtId="3" fontId="0" fillId="7" borderId="33" xfId="0" applyNumberFormat="1" applyFill="1" applyBorder="1" applyAlignment="1">
      <alignment horizontal="center" vertical="center"/>
    </xf>
    <xf numFmtId="0" fontId="0" fillId="7" borderId="33" xfId="0" applyFill="1" applyBorder="1" applyAlignment="1">
      <alignment horizontal="center" vertical="center"/>
    </xf>
    <xf numFmtId="0" fontId="0" fillId="7" borderId="28" xfId="0" applyFill="1" applyBorder="1" applyAlignment="1">
      <alignment vertical="center"/>
    </xf>
    <xf numFmtId="175" fontId="0" fillId="7" borderId="28" xfId="0" applyNumberFormat="1" applyFill="1" applyBorder="1" applyAlignment="1">
      <alignment horizontal="center" vertical="center"/>
    </xf>
    <xf numFmtId="175" fontId="0" fillId="7" borderId="30" xfId="0" applyNumberFormat="1" applyFill="1" applyBorder="1" applyAlignment="1">
      <alignment horizontal="center" vertical="center"/>
    </xf>
    <xf numFmtId="175" fontId="0" fillId="7" borderId="29" xfId="0" applyNumberFormat="1" applyFill="1" applyBorder="1" applyAlignment="1">
      <alignment horizontal="center" vertical="center"/>
    </xf>
    <xf numFmtId="3" fontId="0" fillId="7" borderId="31" xfId="0" applyNumberFormat="1" applyFill="1" applyBorder="1" applyAlignment="1">
      <alignment horizontal="center" vertical="center"/>
    </xf>
    <xf numFmtId="0" fontId="1" fillId="12" borderId="4" xfId="0" applyFont="1" applyFill="1" applyBorder="1" applyProtection="1">
      <protection hidden="1"/>
    </xf>
    <xf numFmtId="2" fontId="0" fillId="12" borderId="0" xfId="0" applyNumberFormat="1" applyFill="1" applyProtection="1">
      <protection locked="0"/>
    </xf>
    <xf numFmtId="0" fontId="0" fillId="12" borderId="0" xfId="0" applyFill="1"/>
    <xf numFmtId="173" fontId="0" fillId="0" borderId="0" xfId="0" applyNumberFormat="1" applyProtection="1">
      <protection locked="0"/>
    </xf>
    <xf numFmtId="171" fontId="1" fillId="0" borderId="0" xfId="0" applyNumberFormat="1" applyFont="1"/>
    <xf numFmtId="0" fontId="59" fillId="0" borderId="0" xfId="0" applyFont="1" applyAlignment="1">
      <alignment vertical="center"/>
    </xf>
    <xf numFmtId="172" fontId="0" fillId="0" borderId="6" xfId="0" applyNumberFormat="1" applyBorder="1"/>
    <xf numFmtId="166" fontId="0" fillId="0" borderId="6" xfId="0" applyNumberFormat="1" applyBorder="1"/>
    <xf numFmtId="0" fontId="34" fillId="9" borderId="0" xfId="0" applyFont="1" applyFill="1" applyAlignment="1">
      <alignment horizontal="left" vertical="center"/>
    </xf>
    <xf numFmtId="0" fontId="7" fillId="9" borderId="0" xfId="0" applyFont="1" applyFill="1" applyAlignment="1">
      <alignment horizontal="center" vertical="center"/>
    </xf>
    <xf numFmtId="0" fontId="1" fillId="9" borderId="0" xfId="0" applyFont="1" applyFill="1" applyAlignment="1">
      <alignment horizontal="center" vertical="center"/>
    </xf>
    <xf numFmtId="0" fontId="7" fillId="9" borderId="0" xfId="0" applyFont="1" applyFill="1" applyAlignment="1">
      <alignment vertical="center"/>
    </xf>
    <xf numFmtId="0" fontId="12" fillId="9" borderId="0" xfId="0" applyFont="1" applyFill="1" applyAlignment="1">
      <alignment horizontal="center"/>
    </xf>
    <xf numFmtId="0" fontId="13" fillId="9" borderId="0" xfId="0" applyFont="1" applyFill="1" applyAlignment="1">
      <alignment horizontal="center"/>
    </xf>
    <xf numFmtId="0" fontId="0" fillId="9" borderId="0" xfId="0" applyFill="1" applyAlignment="1">
      <alignment vertical="top"/>
    </xf>
    <xf numFmtId="0" fontId="26" fillId="9" borderId="0" xfId="0" applyFont="1" applyFill="1" applyAlignment="1">
      <alignment horizontal="left" vertical="center"/>
    </xf>
    <xf numFmtId="0" fontId="14" fillId="9" borderId="0" xfId="0" applyFont="1" applyFill="1" applyAlignment="1">
      <alignment horizontal="center" vertical="top" wrapText="1"/>
    </xf>
    <xf numFmtId="0" fontId="14" fillId="9" borderId="0" xfId="0" applyFont="1" applyFill="1" applyAlignment="1">
      <alignment horizontal="center" vertical="top"/>
    </xf>
    <xf numFmtId="0" fontId="0" fillId="9" borderId="5" xfId="0" applyFill="1" applyBorder="1" applyAlignment="1">
      <alignment vertical="top"/>
    </xf>
    <xf numFmtId="0" fontId="0" fillId="9" borderId="0" xfId="0" applyFill="1" applyAlignment="1">
      <alignment horizontal="center"/>
    </xf>
    <xf numFmtId="44" fontId="1" fillId="9" borderId="17" xfId="2" applyFont="1" applyFill="1" applyBorder="1" applyAlignment="1" applyProtection="1">
      <alignment horizontal="center"/>
    </xf>
    <xf numFmtId="3" fontId="0" fillId="9" borderId="0" xfId="0" applyNumberFormat="1" applyFill="1" applyAlignment="1">
      <alignment horizontal="center"/>
    </xf>
    <xf numFmtId="172" fontId="0" fillId="9" borderId="0" xfId="0" applyNumberFormat="1" applyFill="1" applyAlignment="1">
      <alignment horizontal="center"/>
    </xf>
    <xf numFmtId="9" fontId="1" fillId="9" borderId="17" xfId="5" applyFont="1" applyFill="1" applyBorder="1" applyAlignment="1" applyProtection="1">
      <alignment horizontal="center"/>
    </xf>
    <xf numFmtId="175" fontId="0" fillId="9" borderId="0" xfId="0" applyNumberFormat="1" applyFill="1" applyAlignment="1">
      <alignment horizontal="center"/>
    </xf>
    <xf numFmtId="0" fontId="1" fillId="9" borderId="0" xfId="0" applyFont="1" applyFill="1" applyAlignment="1">
      <alignment horizontal="center"/>
    </xf>
    <xf numFmtId="0" fontId="15" fillId="9" borderId="0" xfId="0" applyFont="1" applyFill="1" applyAlignment="1">
      <alignment horizontal="center"/>
    </xf>
    <xf numFmtId="0" fontId="15" fillId="9" borderId="0" xfId="0" applyFont="1" applyFill="1" applyAlignment="1">
      <alignment horizontal="left" indent="2"/>
    </xf>
    <xf numFmtId="0" fontId="7" fillId="9" borderId="0" xfId="0" applyFont="1" applyFill="1" applyAlignment="1">
      <alignment horizontal="center"/>
    </xf>
    <xf numFmtId="0" fontId="7" fillId="9" borderId="5" xfId="0" applyFont="1" applyFill="1" applyBorder="1"/>
    <xf numFmtId="0" fontId="15" fillId="9" borderId="0" xfId="0" applyFont="1" applyFill="1"/>
    <xf numFmtId="37" fontId="0" fillId="9" borderId="17" xfId="0" applyNumberFormat="1" applyFill="1" applyBorder="1"/>
    <xf numFmtId="9" fontId="1" fillId="9" borderId="17" xfId="5" applyFont="1" applyFill="1" applyBorder="1" applyProtection="1"/>
    <xf numFmtId="3" fontId="0" fillId="9" borderId="17" xfId="0" applyNumberFormat="1" applyFill="1" applyBorder="1"/>
    <xf numFmtId="0" fontId="60" fillId="9" borderId="0" xfId="0" applyFont="1" applyFill="1"/>
    <xf numFmtId="0" fontId="38" fillId="7" borderId="20" xfId="4" quotePrefix="1" applyFont="1" applyFill="1" applyBorder="1" applyAlignment="1">
      <alignment horizontal="left"/>
    </xf>
    <xf numFmtId="0" fontId="38" fillId="7" borderId="21" xfId="4" quotePrefix="1" applyFont="1" applyFill="1" applyBorder="1" applyAlignment="1">
      <alignment horizontal="left"/>
    </xf>
    <xf numFmtId="175" fontId="38" fillId="7" borderId="21" xfId="4" quotePrefix="1" applyNumberFormat="1" applyFont="1" applyFill="1" applyBorder="1" applyAlignment="1">
      <alignment horizontal="left"/>
    </xf>
    <xf numFmtId="174" fontId="38" fillId="7" borderId="21" xfId="4" quotePrefix="1" applyNumberFormat="1" applyFont="1" applyFill="1" applyBorder="1" applyAlignment="1">
      <alignment horizontal="left"/>
    </xf>
    <xf numFmtId="174" fontId="38" fillId="7" borderId="22" xfId="4" applyNumberFormat="1" applyFont="1" applyFill="1" applyBorder="1" applyAlignment="1">
      <alignment horizontal="left"/>
    </xf>
    <xf numFmtId="0" fontId="38" fillId="7" borderId="23" xfId="4" applyFont="1" applyFill="1" applyBorder="1"/>
    <xf numFmtId="0" fontId="38" fillId="7" borderId="25" xfId="4" applyFont="1" applyFill="1" applyBorder="1"/>
    <xf numFmtId="175" fontId="0" fillId="7" borderId="25" xfId="0" applyNumberFormat="1" applyFill="1" applyBorder="1"/>
    <xf numFmtId="3" fontId="38" fillId="7" borderId="0" xfId="4" applyNumberFormat="1" applyFont="1" applyFill="1"/>
    <xf numFmtId="3" fontId="38" fillId="7" borderId="27" xfId="4" applyNumberFormat="1" applyFont="1" applyFill="1" applyBorder="1"/>
    <xf numFmtId="0" fontId="38" fillId="7" borderId="32" xfId="4" applyFont="1" applyFill="1" applyBorder="1"/>
    <xf numFmtId="175" fontId="0" fillId="7" borderId="0" xfId="0" applyNumberFormat="1" applyFill="1"/>
    <xf numFmtId="175" fontId="38" fillId="7" borderId="0" xfId="4" applyNumberFormat="1" applyFont="1" applyFill="1" applyAlignment="1">
      <alignment horizontal="right"/>
    </xf>
    <xf numFmtId="0" fontId="0" fillId="7" borderId="20" xfId="0" applyFill="1" applyBorder="1" applyAlignment="1">
      <alignment horizontal="center" vertical="center"/>
    </xf>
    <xf numFmtId="0" fontId="0" fillId="7" borderId="21" xfId="0" applyFill="1" applyBorder="1" applyAlignment="1">
      <alignment horizontal="center" vertical="center"/>
    </xf>
    <xf numFmtId="0" fontId="0" fillId="7" borderId="22" xfId="0" applyFill="1" applyBorder="1" applyAlignment="1">
      <alignment horizontal="center" vertical="center"/>
    </xf>
    <xf numFmtId="0" fontId="0" fillId="7" borderId="6" xfId="0" applyFill="1" applyBorder="1" applyAlignment="1">
      <alignment horizontal="center" vertical="center"/>
    </xf>
    <xf numFmtId="0" fontId="61" fillId="9" borderId="0" xfId="0" applyFont="1" applyFill="1"/>
    <xf numFmtId="0" fontId="0" fillId="3" borderId="0" xfId="0" applyFill="1"/>
    <xf numFmtId="0" fontId="1" fillId="3" borderId="0" xfId="0" applyFont="1" applyFill="1"/>
    <xf numFmtId="0" fontId="0" fillId="3" borderId="0" xfId="0" applyFill="1" applyProtection="1">
      <protection locked="0"/>
    </xf>
    <xf numFmtId="0" fontId="0" fillId="9" borderId="4" xfId="0" applyFill="1" applyBorder="1"/>
    <xf numFmtId="0" fontId="6" fillId="9" borderId="0" xfId="0" applyFont="1" applyFill="1"/>
    <xf numFmtId="0" fontId="0" fillId="9" borderId="4" xfId="0" applyFill="1" applyBorder="1" applyAlignment="1">
      <alignment vertical="top"/>
    </xf>
    <xf numFmtId="4" fontId="0" fillId="9" borderId="0" xfId="0" applyNumberFormat="1" applyFill="1"/>
    <xf numFmtId="0" fontId="62" fillId="9" borderId="0" xfId="0" applyFont="1" applyFill="1"/>
    <xf numFmtId="0" fontId="2" fillId="9" borderId="0" xfId="0" applyFont="1" applyFill="1" applyAlignment="1">
      <alignment horizontal="center" wrapText="1"/>
    </xf>
    <xf numFmtId="0" fontId="2" fillId="9" borderId="0" xfId="0" applyFont="1" applyFill="1" applyAlignment="1">
      <alignment horizontal="center"/>
    </xf>
    <xf numFmtId="4" fontId="0" fillId="9" borderId="0" xfId="0" applyNumberFormat="1" applyFill="1" applyAlignment="1" applyProtection="1">
      <alignment horizontal="center"/>
      <protection locked="0"/>
    </xf>
    <xf numFmtId="0" fontId="62" fillId="9" borderId="0" xfId="0" applyFont="1" applyFill="1" applyAlignment="1">
      <alignment horizontal="center"/>
    </xf>
    <xf numFmtId="0" fontId="0" fillId="9" borderId="1" xfId="0" applyFill="1" applyBorder="1"/>
    <xf numFmtId="0" fontId="0" fillId="9" borderId="2" xfId="0" applyFill="1" applyBorder="1"/>
    <xf numFmtId="0" fontId="0" fillId="9" borderId="3" xfId="0" applyFill="1" applyBorder="1"/>
    <xf numFmtId="0" fontId="56" fillId="9" borderId="0" xfId="0" applyFont="1" applyFill="1"/>
    <xf numFmtId="0" fontId="4" fillId="9" borderId="0" xfId="0" applyFont="1" applyFill="1"/>
    <xf numFmtId="0" fontId="5" fillId="9" borderId="0" xfId="0" applyFont="1" applyFill="1"/>
    <xf numFmtId="0" fontId="1" fillId="9" borderId="0" xfId="0" applyFont="1" applyFill="1" applyAlignment="1">
      <alignment horizontal="left"/>
    </xf>
    <xf numFmtId="0" fontId="0" fillId="9" borderId="0" xfId="0" applyFill="1" applyAlignment="1">
      <alignment horizontal="right"/>
    </xf>
    <xf numFmtId="0" fontId="0" fillId="9" borderId="0" xfId="0" applyFill="1" applyAlignment="1">
      <alignment horizontal="left"/>
    </xf>
    <xf numFmtId="0" fontId="0" fillId="9" borderId="0" xfId="0" quotePrefix="1" applyFill="1"/>
    <xf numFmtId="0" fontId="63" fillId="3" borderId="0" xfId="0" applyFont="1" applyFill="1"/>
    <xf numFmtId="0" fontId="0" fillId="9" borderId="6" xfId="0" applyFill="1" applyBorder="1"/>
    <xf numFmtId="0" fontId="32" fillId="9" borderId="0" xfId="0" quotePrefix="1" applyFont="1" applyFill="1"/>
    <xf numFmtId="0" fontId="16" fillId="9" borderId="0" xfId="0" applyFont="1" applyFill="1"/>
    <xf numFmtId="0" fontId="2" fillId="9" borderId="0" xfId="0" applyFont="1" applyFill="1" applyAlignment="1">
      <alignment horizontal="right" indent="1"/>
    </xf>
    <xf numFmtId="0" fontId="1" fillId="9" borderId="0" xfId="0" applyFont="1" applyFill="1" applyAlignment="1">
      <alignment horizontal="left" indent="1"/>
    </xf>
    <xf numFmtId="172" fontId="0" fillId="9" borderId="17" xfId="0" applyNumberFormat="1" applyFill="1" applyBorder="1"/>
    <xf numFmtId="0" fontId="0" fillId="9" borderId="7" xfId="0" applyFill="1" applyBorder="1"/>
    <xf numFmtId="0" fontId="0" fillId="9" borderId="8" xfId="0" applyFill="1" applyBorder="1"/>
    <xf numFmtId="0" fontId="0" fillId="9" borderId="9" xfId="0" applyFill="1" applyBorder="1"/>
    <xf numFmtId="0" fontId="7" fillId="9" borderId="0" xfId="0" applyFont="1" applyFill="1" applyAlignment="1">
      <alignment horizontal="center" vertical="center" wrapText="1"/>
    </xf>
    <xf numFmtId="0" fontId="0" fillId="0" borderId="0" xfId="0" applyAlignment="1" applyProtection="1">
      <alignment horizontal="left"/>
      <protection locked="0"/>
    </xf>
    <xf numFmtId="0" fontId="0" fillId="0" borderId="0" xfId="0" applyProtection="1">
      <protection locked="0"/>
    </xf>
    <xf numFmtId="0" fontId="2" fillId="0" borderId="0" xfId="0" applyFont="1" applyAlignment="1">
      <alignment horizontal="center" wrapText="1"/>
    </xf>
    <xf numFmtId="0" fontId="2" fillId="2" borderId="2" xfId="4" applyFont="1" applyFill="1" applyBorder="1" applyAlignment="1">
      <alignment horizontal="center" vertical="center"/>
    </xf>
    <xf numFmtId="0" fontId="2" fillId="2" borderId="3" xfId="4" applyFont="1" applyFill="1" applyBorder="1" applyAlignment="1">
      <alignment horizontal="center" vertical="center"/>
    </xf>
    <xf numFmtId="0" fontId="2" fillId="2" borderId="8" xfId="4" applyFont="1" applyFill="1" applyBorder="1" applyAlignment="1">
      <alignment horizontal="center" vertical="center"/>
    </xf>
    <xf numFmtId="0" fontId="2" fillId="2" borderId="9" xfId="4" applyFont="1" applyFill="1" applyBorder="1" applyAlignment="1">
      <alignment horizontal="center" vertical="center"/>
    </xf>
    <xf numFmtId="165" fontId="2" fillId="0" borderId="0" xfId="1" applyNumberFormat="1" applyFont="1" applyFill="1" applyAlignment="1">
      <alignment horizontal="left"/>
    </xf>
    <xf numFmtId="0" fontId="49" fillId="4" borderId="0" xfId="0" applyFont="1" applyFill="1" applyAlignment="1">
      <alignment horizontal="left" vertical="center" wrapText="1"/>
    </xf>
    <xf numFmtId="0" fontId="50" fillId="4" borderId="0" xfId="3" applyFont="1" applyFill="1" applyBorder="1" applyAlignment="1" applyProtection="1">
      <alignment horizontal="left" vertical="center" wrapText="1"/>
    </xf>
    <xf numFmtId="0" fontId="30" fillId="4" borderId="0" xfId="0" applyFont="1" applyFill="1" applyAlignment="1">
      <alignment horizontal="center" wrapText="1"/>
    </xf>
    <xf numFmtId="175" fontId="0" fillId="4" borderId="25" xfId="0" applyNumberFormat="1" applyFill="1" applyBorder="1" applyAlignment="1">
      <alignment horizontal="center" vertical="center"/>
    </xf>
    <xf numFmtId="175" fontId="0" fillId="4" borderId="0" xfId="0" applyNumberFormat="1" applyFill="1" applyAlignment="1">
      <alignment horizontal="center" vertical="center"/>
    </xf>
    <xf numFmtId="175" fontId="0" fillId="4" borderId="30" xfId="0" applyNumberFormat="1" applyFill="1" applyBorder="1" applyAlignment="1">
      <alignment horizontal="center" vertical="center"/>
    </xf>
    <xf numFmtId="0" fontId="49" fillId="4" borderId="25" xfId="0" applyFont="1" applyFill="1" applyBorder="1" applyAlignment="1">
      <alignment horizontal="left" vertical="center" wrapText="1"/>
    </xf>
    <xf numFmtId="0" fontId="50" fillId="4" borderId="25" xfId="3" applyFont="1" applyFill="1" applyBorder="1" applyAlignment="1" applyProtection="1">
      <alignment horizontal="left" vertical="center" wrapText="1"/>
    </xf>
    <xf numFmtId="0" fontId="3" fillId="4" borderId="0" xfId="3" applyFill="1" applyBorder="1" applyAlignment="1" applyProtection="1">
      <alignment horizontal="left" vertical="center" wrapText="1"/>
    </xf>
    <xf numFmtId="3" fontId="49" fillId="4" borderId="0" xfId="0" applyNumberFormat="1" applyFont="1" applyFill="1" applyAlignment="1">
      <alignment horizontal="left" vertical="center" wrapText="1"/>
    </xf>
    <xf numFmtId="0" fontId="50" fillId="4" borderId="5" xfId="3" applyFont="1" applyFill="1" applyBorder="1" applyAlignment="1" applyProtection="1">
      <alignment horizontal="left" vertical="center" wrapText="1"/>
    </xf>
    <xf numFmtId="0" fontId="3" fillId="4" borderId="5" xfId="3" applyFill="1" applyBorder="1" applyAlignment="1" applyProtection="1">
      <alignment horizontal="left" vertical="center" wrapText="1"/>
    </xf>
    <xf numFmtId="3" fontId="49" fillId="4" borderId="8" xfId="0" applyNumberFormat="1" applyFont="1" applyFill="1" applyBorder="1" applyAlignment="1">
      <alignment horizontal="left" vertical="center" wrapText="1"/>
    </xf>
    <xf numFmtId="0" fontId="49" fillId="4" borderId="8" xfId="0" applyFont="1" applyFill="1" applyBorder="1" applyAlignment="1">
      <alignment horizontal="left" vertical="center" wrapText="1"/>
    </xf>
    <xf numFmtId="0" fontId="3" fillId="4" borderId="8" xfId="3" applyFill="1" applyBorder="1" applyAlignment="1" applyProtection="1">
      <alignment horizontal="left" vertical="center" wrapText="1"/>
    </xf>
  </cellXfs>
  <cellStyles count="10">
    <cellStyle name="Comma" xfId="1" builtinId="3"/>
    <cellStyle name="Currency" xfId="2" builtinId="4"/>
    <cellStyle name="Hyperlink" xfId="3" builtinId="8"/>
    <cellStyle name="Normal" xfId="0" builtinId="0"/>
    <cellStyle name="Normal 12" xfId="7" xr:uid="{5EF0929A-E18C-4B29-B995-BE9B69911B29}"/>
    <cellStyle name="Normal 2" xfId="4" xr:uid="{F086F112-DB97-4D95-84C9-9847DCFA72F0}"/>
    <cellStyle name="Normal 3" xfId="6" xr:uid="{4237BB4B-D8DA-43C3-83D3-75B3D06A488D}"/>
    <cellStyle name="Normal 6 2" xfId="9" xr:uid="{6B991FC9-C4D9-4918-BC87-F4B01A1832F2}"/>
    <cellStyle name="Normal 8 5" xfId="8" xr:uid="{898C07DB-570A-4A50-8204-CE73E4F58C05}"/>
    <cellStyle name="Percent" xfId="5" builtinId="5"/>
  </cellStyles>
  <dxfs count="20">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theme="0"/>
        </patternFill>
      </fill>
      <border>
        <left style="thin">
          <color auto="1"/>
        </left>
        <right style="thin">
          <color auto="1"/>
        </right>
        <top style="thin">
          <color auto="1"/>
        </top>
        <bottom style="thin">
          <color auto="1"/>
        </bottom>
        <vertical/>
        <horizontal/>
      </border>
    </dxf>
    <dxf>
      <font>
        <color theme="0" tint="-4.9989318521683403E-2"/>
      </font>
    </dxf>
    <dxf>
      <fill>
        <patternFill>
          <bgColor theme="0" tint="-4.9989318521683403E-2"/>
        </patternFill>
      </fill>
      <border>
        <left/>
        <right/>
        <top/>
        <bottom/>
        <vertical/>
        <horizontal/>
      </border>
    </dxf>
    <dxf>
      <fill>
        <patternFill>
          <bgColor theme="0"/>
        </patternFill>
      </fill>
      <border>
        <left style="thin">
          <color auto="1"/>
        </left>
        <right style="thin">
          <color auto="1"/>
        </right>
        <top style="thin">
          <color auto="1"/>
        </top>
        <bottom style="thin">
          <color auto="1"/>
        </bottom>
        <vertical/>
        <horizontal/>
      </border>
    </dxf>
    <dxf>
      <font>
        <color theme="0" tint="-4.9989318521683403E-2"/>
      </font>
    </dxf>
    <dxf>
      <fill>
        <patternFill>
          <bgColor theme="0" tint="-4.9989318521683403E-2"/>
        </patternFill>
      </fill>
      <border>
        <left/>
        <right/>
        <top/>
        <bottom/>
        <vertical/>
        <horizontal/>
      </border>
    </dxf>
    <dxf>
      <fill>
        <patternFill>
          <bgColor theme="0"/>
        </patternFill>
      </fill>
      <border>
        <left style="thin">
          <color auto="1"/>
        </left>
        <right style="thin">
          <color auto="1"/>
        </right>
        <top style="thin">
          <color auto="1"/>
        </top>
        <bottom style="thin">
          <color auto="1"/>
        </bottom>
        <vertical/>
        <horizontal/>
      </border>
    </dxf>
    <dxf>
      <font>
        <color theme="0" tint="-4.9989318521683403E-2"/>
      </font>
    </dxf>
    <dxf>
      <fill>
        <patternFill>
          <bgColor theme="0" tint="-4.9989318521683403E-2"/>
        </patternFill>
      </fill>
      <border>
        <left/>
        <right/>
        <top/>
        <bottom/>
        <vertical/>
        <horizontal/>
      </border>
    </dxf>
    <dxf>
      <fill>
        <patternFill>
          <bgColor theme="0"/>
        </patternFill>
      </fill>
      <border>
        <left style="thin">
          <color auto="1"/>
        </left>
        <right style="thin">
          <color auto="1"/>
        </right>
        <top style="thin">
          <color auto="1"/>
        </top>
        <bottom style="thin">
          <color auto="1"/>
        </bottom>
        <vertical/>
        <horizontal/>
      </border>
    </dxf>
    <dxf>
      <font>
        <color theme="0" tint="-4.9989318521683403E-2"/>
      </font>
    </dxf>
    <dxf>
      <fill>
        <patternFill>
          <bgColor theme="0" tint="-4.9989318521683403E-2"/>
        </patternFill>
      </fill>
      <border>
        <left/>
        <right/>
        <top/>
        <bottom/>
        <vertical/>
        <horizontal/>
      </border>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alcChain" Target="calcChain.xml"/><Relationship Id="rId2" Type="http://schemas.openxmlformats.org/officeDocument/2006/relationships/worksheet" Target="worksheets/sheet2.xml"/><Relationship Id="rId16" Type="http://schemas.microsoft.com/office/2017/10/relationships/person" Target="persons/person.xml"/><Relationship Id="rId20"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eetMetadata" Target="metadata.xml"/><Relationship Id="rId10" Type="http://schemas.openxmlformats.org/officeDocument/2006/relationships/worksheet" Target="worksheets/sheet10.xml"/><Relationship Id="rId19"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baseline="0">
                <a:solidFill>
                  <a:schemeClr val="tx2"/>
                </a:solidFill>
                <a:latin typeface="+mn-lt"/>
                <a:ea typeface="+mn-ea"/>
                <a:cs typeface="+mn-cs"/>
              </a:defRPr>
            </a:pPr>
            <a:r>
              <a:rPr lang="en-US"/>
              <a:t>Energy Costs- Current Home vs. Gas Home </a:t>
            </a:r>
          </a:p>
        </c:rich>
      </c:tx>
      <c:overlay val="0"/>
      <c:spPr>
        <a:noFill/>
        <a:ln>
          <a:noFill/>
        </a:ln>
        <a:effectLst/>
      </c:spPr>
      <c:txPr>
        <a:bodyPr rot="0" spcFirstLastPara="1" vertOverflow="ellipsis" vert="horz" wrap="square" anchor="ctr" anchorCtr="1"/>
        <a:lstStyle/>
        <a:p>
          <a:pPr>
            <a:defRPr sz="1600" b="1" i="0" u="none" strike="noStrike" kern="1200" baseline="0">
              <a:solidFill>
                <a:schemeClr val="tx2"/>
              </a:solidFill>
              <a:latin typeface="+mn-lt"/>
              <a:ea typeface="+mn-ea"/>
              <a:cs typeface="+mn-cs"/>
            </a:defRPr>
          </a:pPr>
          <a:endParaRPr lang="en-US"/>
        </a:p>
      </c:txPr>
    </c:title>
    <c:autoTitleDeleted val="0"/>
    <c:plotArea>
      <c:layout/>
      <c:barChart>
        <c:barDir val="col"/>
        <c:grouping val="stacked"/>
        <c:varyColors val="0"/>
        <c:ser>
          <c:idx val="0"/>
          <c:order val="0"/>
          <c:tx>
            <c:strRef>
              <c:f>Calc!$F$133</c:f>
              <c:strCache>
                <c:ptCount val="1"/>
                <c:pt idx="0">
                  <c:v>Space Heating</c:v>
                </c:pt>
              </c:strCache>
            </c:strRef>
          </c:tx>
          <c:spPr>
            <a:solidFill>
              <a:schemeClr val="tx2"/>
            </a:solidFill>
            <a:ln>
              <a:noFill/>
            </a:ln>
            <a:effectLst>
              <a:outerShdw blurRad="40000" dist="23000" dir="5400000" rotWithShape="0">
                <a:srgbClr val="000000">
                  <a:alpha val="35000"/>
                </a:srgbClr>
              </a:outerShdw>
            </a:effectLst>
          </c:spPr>
          <c:invertIfNegative val="0"/>
          <c:dLbls>
            <c:delete val="1"/>
          </c:dLbls>
          <c:cat>
            <c:strRef>
              <c:f>Calc!$G$132:$H$132</c:f>
              <c:strCache>
                <c:ptCount val="2"/>
                <c:pt idx="0">
                  <c:v>Current Home</c:v>
                </c:pt>
                <c:pt idx="1">
                  <c:v>Gas Home</c:v>
                </c:pt>
              </c:strCache>
            </c:strRef>
          </c:cat>
          <c:val>
            <c:numRef>
              <c:f>Calc!$G$133:$H$133</c:f>
              <c:numCache>
                <c:formatCode>_("$"* #,##0_);_("$"* \(#,##0\);_("$"* "-"??_);_(@_)</c:formatCode>
                <c:ptCount val="2"/>
                <c:pt idx="0">
                  <c:v>1180.4986249360509</c:v>
                </c:pt>
                <c:pt idx="1">
                  <c:v>920.1760681760959</c:v>
                </c:pt>
              </c:numCache>
            </c:numRef>
          </c:val>
          <c:extLst xmlns:c15="http://schemas.microsoft.com/office/drawing/2012/chart" xmlns:c16="http://schemas.microsoft.com/office/drawing/2014/chart" xmlns:c14="http://schemas.microsoft.com/office/drawing/2007/8/2/chart" xmlns:mc="http://schemas.openxmlformats.org/markup-compatibility/2006">
            <c:ext xmlns:c16="http://schemas.microsoft.com/office/drawing/2014/chart" uri="{C3380CC4-5D6E-409C-BE32-E72D297353CC}">
              <c16:uniqueId val="{00000000-7B38-4B9D-AF3D-024973F24D60}"/>
            </c:ext>
          </c:extLst>
        </c:ser>
        <c:ser>
          <c:idx val="1"/>
          <c:order val="1"/>
          <c:tx>
            <c:strRef>
              <c:f>Calc!$F$134</c:f>
              <c:strCache>
                <c:ptCount val="1"/>
                <c:pt idx="0">
                  <c:v>Water Heating</c:v>
                </c:pt>
              </c:strCache>
            </c:strRef>
          </c:tx>
          <c:spPr>
            <a:solidFill>
              <a:schemeClr val="tx2">
                <a:lumMod val="40000"/>
                <a:lumOff val="60000"/>
              </a:schemeClr>
            </a:solidFill>
            <a:ln>
              <a:noFill/>
            </a:ln>
            <a:effectLst>
              <a:outerShdw blurRad="40000" dist="23000" dir="5400000" rotWithShape="0">
                <a:srgbClr val="000000">
                  <a:alpha val="35000"/>
                </a:srgbClr>
              </a:outerShdw>
            </a:effectLst>
          </c:spPr>
          <c:invertIfNegative val="0"/>
          <c:dLbls>
            <c:delete val="1"/>
          </c:dLbls>
          <c:cat>
            <c:strRef>
              <c:f>Calc!$G$132:$H$132</c:f>
              <c:strCache>
                <c:ptCount val="2"/>
                <c:pt idx="0">
                  <c:v>Current Home</c:v>
                </c:pt>
                <c:pt idx="1">
                  <c:v>Gas Home</c:v>
                </c:pt>
              </c:strCache>
            </c:strRef>
          </c:cat>
          <c:val>
            <c:numRef>
              <c:f>Calc!$G$134:$H$134</c:f>
              <c:numCache>
                <c:formatCode>_("$"* #,##0_);_("$"* \(#,##0\);_("$"* "-"??_);_(@_)</c:formatCode>
                <c:ptCount val="2"/>
                <c:pt idx="0">
                  <c:v>832.30567307202205</c:v>
                </c:pt>
                <c:pt idx="1">
                  <c:v>417.51576577586218</c:v>
                </c:pt>
              </c:numCache>
            </c:numRef>
          </c:val>
          <c:extLst xmlns:c15="http://schemas.microsoft.com/office/drawing/2012/chart" xmlns:c16="http://schemas.microsoft.com/office/drawing/2014/chart" xmlns:c14="http://schemas.microsoft.com/office/drawing/2007/8/2/chart" xmlns:mc="http://schemas.openxmlformats.org/markup-compatibility/2006">
            <c:ext xmlns:c16="http://schemas.microsoft.com/office/drawing/2014/chart" uri="{C3380CC4-5D6E-409C-BE32-E72D297353CC}">
              <c16:uniqueId val="{00000001-7B38-4B9D-AF3D-024973F24D60}"/>
            </c:ext>
          </c:extLst>
        </c:ser>
        <c:ser>
          <c:idx val="2"/>
          <c:order val="2"/>
          <c:tx>
            <c:strRef>
              <c:f>Calc!$F$135</c:f>
              <c:strCache>
                <c:ptCount val="1"/>
                <c:pt idx="0">
                  <c:v>Clothes Drying</c:v>
                </c:pt>
              </c:strCache>
            </c:strRef>
          </c:tx>
          <c:spPr>
            <a:solidFill>
              <a:schemeClr val="accent6">
                <a:lumMod val="60000"/>
                <a:lumOff val="40000"/>
              </a:schemeClr>
            </a:solidFill>
            <a:ln>
              <a:noFill/>
            </a:ln>
            <a:effectLst>
              <a:outerShdw blurRad="40000" dist="23000" dir="5400000" rotWithShape="0">
                <a:srgbClr val="000000">
                  <a:alpha val="35000"/>
                </a:srgbClr>
              </a:outerShdw>
            </a:effectLst>
          </c:spPr>
          <c:invertIfNegative val="0"/>
          <c:dLbls>
            <c:delete val="1"/>
          </c:dLbls>
          <c:cat>
            <c:strRef>
              <c:f>Calc!$G$132:$H$132</c:f>
              <c:strCache>
                <c:ptCount val="2"/>
                <c:pt idx="0">
                  <c:v>Current Home</c:v>
                </c:pt>
                <c:pt idx="1">
                  <c:v>Gas Home</c:v>
                </c:pt>
              </c:strCache>
            </c:strRef>
          </c:cat>
          <c:val>
            <c:numRef>
              <c:f>Calc!$G$135:$H$135</c:f>
              <c:numCache>
                <c:formatCode>_("$"* #,##0_);_("$"* \(#,##0\);_("$"* "-"??_);_(@_)</c:formatCode>
                <c:ptCount val="2"/>
                <c:pt idx="0">
                  <c:v>124.91152815013403</c:v>
                </c:pt>
                <c:pt idx="1">
                  <c:v>55.186173602996256</c:v>
                </c:pt>
              </c:numCache>
            </c:numRef>
          </c:val>
          <c:extLst xmlns:c15="http://schemas.microsoft.com/office/drawing/2012/chart" xmlns:c16="http://schemas.microsoft.com/office/drawing/2014/chart" xmlns:c14="http://schemas.microsoft.com/office/drawing/2007/8/2/chart" xmlns:mc="http://schemas.openxmlformats.org/markup-compatibility/2006">
            <c:ext xmlns:c16="http://schemas.microsoft.com/office/drawing/2014/chart" uri="{C3380CC4-5D6E-409C-BE32-E72D297353CC}">
              <c16:uniqueId val="{00000002-7B38-4B9D-AF3D-024973F24D60}"/>
            </c:ext>
          </c:extLst>
        </c:ser>
        <c:ser>
          <c:idx val="3"/>
          <c:order val="3"/>
          <c:tx>
            <c:strRef>
              <c:f>Calc!$F$136</c:f>
              <c:strCache>
                <c:ptCount val="1"/>
                <c:pt idx="0">
                  <c:v>Cooking</c:v>
                </c:pt>
              </c:strCache>
            </c:strRef>
          </c:tx>
          <c:spPr>
            <a:solidFill>
              <a:schemeClr val="accent6">
                <a:lumMod val="50000"/>
              </a:schemeClr>
            </a:solidFill>
            <a:ln>
              <a:noFill/>
            </a:ln>
            <a:effectLst>
              <a:outerShdw blurRad="40000" dist="23000" dir="5400000" rotWithShape="0">
                <a:srgbClr val="000000">
                  <a:alpha val="35000"/>
                </a:srgbClr>
              </a:outerShdw>
            </a:effectLst>
          </c:spPr>
          <c:invertIfNegative val="0"/>
          <c:dLbls>
            <c:delete val="1"/>
          </c:dLbls>
          <c:cat>
            <c:strRef>
              <c:f>Calc!$G$132:$H$132</c:f>
              <c:strCache>
                <c:ptCount val="2"/>
                <c:pt idx="0">
                  <c:v>Current Home</c:v>
                </c:pt>
                <c:pt idx="1">
                  <c:v>Gas Home</c:v>
                </c:pt>
              </c:strCache>
            </c:strRef>
          </c:cat>
          <c:val>
            <c:numRef>
              <c:f>Calc!$G$136:$H$136</c:f>
              <c:numCache>
                <c:formatCode>_("$"* #,##0_);_("$"* \(#,##0\);_("$"* "-"??_);_(@_)</c:formatCode>
                <c:ptCount val="2"/>
                <c:pt idx="0">
                  <c:v>56.432432432432435</c:v>
                </c:pt>
                <c:pt idx="1">
                  <c:v>22.245000000000001</c:v>
                </c:pt>
              </c:numCache>
            </c:numRef>
          </c:val>
          <c:extLst xmlns:c15="http://schemas.microsoft.com/office/drawing/2012/chart" xmlns:c16="http://schemas.microsoft.com/office/drawing/2014/chart" xmlns:c14="http://schemas.microsoft.com/office/drawing/2007/8/2/chart" xmlns:mc="http://schemas.openxmlformats.org/markup-compatibility/2006">
            <c:ext xmlns:c16="http://schemas.microsoft.com/office/drawing/2014/chart" uri="{C3380CC4-5D6E-409C-BE32-E72D297353CC}">
              <c16:uniqueId val="{00000003-7B38-4B9D-AF3D-024973F24D60}"/>
            </c:ext>
          </c:extLst>
        </c:ser>
        <c:dLbls>
          <c:showLegendKey val="0"/>
          <c:showVal val="1"/>
          <c:showCatName val="0"/>
          <c:showSerName val="0"/>
          <c:showPercent val="0"/>
          <c:showBubbleSize val="0"/>
        </c:dLbls>
        <c:gapWidth val="150"/>
        <c:overlap val="100"/>
        <c:axId val="1434275232"/>
        <c:axId val="1434277152"/>
      </c:barChart>
      <c:lineChart>
        <c:grouping val="standard"/>
        <c:varyColors val="0"/>
        <c:ser>
          <c:idx val="4"/>
          <c:order val="4"/>
          <c:tx>
            <c:strRef>
              <c:f>Calc!$F$137</c:f>
              <c:strCache>
                <c:ptCount val="1"/>
                <c:pt idx="0">
                  <c:v>Total</c:v>
                </c:pt>
              </c:strCache>
            </c:strRef>
          </c:tx>
          <c:spPr>
            <a:ln w="31750" cap="rnd">
              <a:noFill/>
              <a:round/>
            </a:ln>
            <a:effectLst>
              <a:outerShdw blurRad="40000" dist="23000" dir="5400000" rotWithShape="0">
                <a:srgbClr val="000000">
                  <a:alpha val="35000"/>
                </a:srgbClr>
              </a:outerShdw>
            </a:effectLst>
          </c:spPr>
          <c:marker>
            <c:symbol val="none"/>
          </c:marker>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2"/>
                    </a:solidFill>
                    <a:latin typeface="+mn-lt"/>
                    <a:ea typeface="+mn-ea"/>
                    <a:cs typeface="+mn-cs"/>
                  </a:defRPr>
                </a:pPr>
                <a:endParaRPr lang="en-US"/>
              </a:p>
            </c:txPr>
            <c:dLblPos val="t"/>
            <c:showLegendKey val="0"/>
            <c:showVal val="1"/>
            <c:showCatName val="0"/>
            <c:showSerName val="0"/>
            <c:showPercent val="0"/>
            <c:showBubbleSize val="0"/>
            <c:showLeaderLines val="0"/>
            <c:extLst xmlns:c15="http://schemas.microsoft.com/office/drawing/2012/chart" xmlns:c16="http://schemas.microsoft.com/office/drawing/2014/chart" xmlns:c14="http://schemas.microsoft.com/office/drawing/2007/8/2/chart" xmlns:mc="http://schemas.openxmlformats.org/markup-compatibility/2006">
              <c:ext xmlns:c15="http://schemas.microsoft.com/office/drawing/2012/chart" uri="{CE6537A1-D6FC-4f65-9D91-7224C49458BB}">
                <c15:showLeaderLines val="0"/>
              </c:ext>
            </c:extLst>
          </c:dLbls>
          <c:cat>
            <c:strRef>
              <c:f>Calc!$G$132:$H$132</c:f>
              <c:strCache>
                <c:ptCount val="2"/>
                <c:pt idx="0">
                  <c:v>Current Home</c:v>
                </c:pt>
                <c:pt idx="1">
                  <c:v>Gas Home</c:v>
                </c:pt>
              </c:strCache>
            </c:strRef>
          </c:cat>
          <c:val>
            <c:numRef>
              <c:f>Calc!$G$137:$H$137</c:f>
              <c:numCache>
                <c:formatCode>_("$"* #,##0_);_("$"* \(#,##0\);_("$"* "-"??_);_(@_)</c:formatCode>
                <c:ptCount val="2"/>
                <c:pt idx="0">
                  <c:v>2194.1482585906397</c:v>
                </c:pt>
                <c:pt idx="1">
                  <c:v>1415.123007554954</c:v>
                </c:pt>
              </c:numCache>
            </c:numRef>
          </c:val>
          <c:smooth val="0"/>
          <c:extLst xmlns:c15="http://schemas.microsoft.com/office/drawing/2012/chart" xmlns:c16="http://schemas.microsoft.com/office/drawing/2014/chart" xmlns:c14="http://schemas.microsoft.com/office/drawing/2007/8/2/chart" xmlns:mc="http://schemas.openxmlformats.org/markup-compatibility/2006">
            <c:ext xmlns:c16="http://schemas.microsoft.com/office/drawing/2014/chart" uri="{C3380CC4-5D6E-409C-BE32-E72D297353CC}">
              <c16:uniqueId val="{00000000-DD80-46E4-A7A9-8C7A7B9217CF}"/>
            </c:ext>
          </c:extLst>
        </c:ser>
        <c:dLbls>
          <c:showLegendKey val="0"/>
          <c:showVal val="0"/>
          <c:showCatName val="0"/>
          <c:showSerName val="0"/>
          <c:showPercent val="0"/>
          <c:showBubbleSize val="0"/>
        </c:dLbls>
        <c:marker val="1"/>
        <c:smooth val="0"/>
        <c:axId val="1434275232"/>
        <c:axId val="1434277152"/>
      </c:lineChart>
      <c:catAx>
        <c:axId val="1434275232"/>
        <c:scaling>
          <c:orientation val="minMax"/>
        </c:scaling>
        <c:delete val="0"/>
        <c:axPos val="b"/>
        <c:numFmt formatCode="General" sourceLinked="1"/>
        <c:majorTickMark val="none"/>
        <c:minorTickMark val="none"/>
        <c:tickLblPos val="nextTo"/>
        <c:spPr>
          <a:noFill/>
          <a:ln w="9525" cap="flat" cmpd="sng" algn="ctr">
            <a:solidFill>
              <a:schemeClr val="tx2">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2"/>
                </a:solidFill>
                <a:latin typeface="+mn-lt"/>
                <a:ea typeface="+mn-ea"/>
                <a:cs typeface="+mn-cs"/>
              </a:defRPr>
            </a:pPr>
            <a:endParaRPr lang="en-US"/>
          </a:p>
        </c:txPr>
        <c:crossAx val="1434277152"/>
        <c:crosses val="autoZero"/>
        <c:auto val="1"/>
        <c:lblAlgn val="ctr"/>
        <c:lblOffset val="100"/>
        <c:noMultiLvlLbl val="0"/>
      </c:catAx>
      <c:valAx>
        <c:axId val="1434277152"/>
        <c:scaling>
          <c:orientation val="minMax"/>
        </c:scaling>
        <c:delete val="0"/>
        <c:axPos val="l"/>
        <c:majorGridlines>
          <c:spPr>
            <a:ln w="9525" cap="flat" cmpd="sng" algn="ctr">
              <a:solidFill>
                <a:schemeClr val="tx2">
                  <a:lumMod val="15000"/>
                  <a:lumOff val="85000"/>
                </a:schemeClr>
              </a:solidFill>
              <a:round/>
            </a:ln>
            <a:effectLst/>
          </c:spPr>
        </c:majorGridlines>
        <c:numFmt formatCode="_(&quot;$&quot;* #,##0_);_(&quot;$&quot;* \(#,##0\);_(&quot;$&quot;* &quot;-&quot;??_);_(@_)" sourceLinked="1"/>
        <c:majorTickMark val="none"/>
        <c:minorTickMark val="none"/>
        <c:tickLblPos val="nextTo"/>
        <c:spPr>
          <a:noFill/>
          <a:ln>
            <a:noFill/>
          </a:ln>
          <a:effectLst/>
        </c:spPr>
        <c:txPr>
          <a:bodyPr rot="-60000000" spcFirstLastPara="1" vertOverflow="ellipsis" vert="horz" wrap="square" anchor="ctr" anchorCtr="1"/>
          <a:lstStyle/>
          <a:p>
            <a:pPr>
              <a:defRPr sz="900" b="1" i="0" u="none" strike="noStrike" kern="1200" baseline="0">
                <a:solidFill>
                  <a:schemeClr val="tx2"/>
                </a:solidFill>
                <a:latin typeface="+mn-lt"/>
                <a:ea typeface="+mn-ea"/>
                <a:cs typeface="+mn-cs"/>
              </a:defRPr>
            </a:pPr>
            <a:endParaRPr lang="en-US"/>
          </a:p>
        </c:txPr>
        <c:crossAx val="1434275232"/>
        <c:crosses val="autoZero"/>
        <c:crossBetween val="between"/>
      </c:valAx>
      <c:spPr>
        <a:noFill/>
        <a:ln>
          <a:noFill/>
        </a:ln>
        <a:effectLst/>
      </c:spPr>
    </c:plotArea>
    <c:legend>
      <c:legendPos val="b"/>
      <c:legendEntry>
        <c:idx val="4"/>
        <c:delete val="1"/>
      </c:legendEntry>
      <c:overlay val="0"/>
      <c:spPr>
        <a:noFill/>
        <a:ln>
          <a:noFill/>
        </a:ln>
        <a:effectLst/>
      </c:spPr>
      <c:txPr>
        <a:bodyPr rot="0" spcFirstLastPara="1" vertOverflow="ellipsis" vert="horz" wrap="square" anchor="ctr" anchorCtr="1"/>
        <a:lstStyle/>
        <a:p>
          <a:pPr>
            <a:defRPr sz="1100" b="1" i="0" u="none" strike="noStrike" kern="1200" baseline="0">
              <a:solidFill>
                <a:schemeClr val="tx2"/>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2">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baseline="0">
                <a:solidFill>
                  <a:schemeClr val="tx2"/>
                </a:solidFill>
                <a:latin typeface="+mn-lt"/>
                <a:ea typeface="+mn-ea"/>
                <a:cs typeface="+mn-cs"/>
              </a:defRPr>
            </a:pPr>
            <a:r>
              <a:rPr lang="en-US"/>
              <a:t>NOx &amp; SOx Emissions</a:t>
            </a:r>
          </a:p>
        </c:rich>
      </c:tx>
      <c:overlay val="0"/>
      <c:spPr>
        <a:noFill/>
        <a:ln>
          <a:noFill/>
        </a:ln>
        <a:effectLst/>
      </c:spPr>
      <c:txPr>
        <a:bodyPr rot="0" spcFirstLastPara="1" vertOverflow="ellipsis" vert="horz" wrap="square" anchor="ctr" anchorCtr="1"/>
        <a:lstStyle/>
        <a:p>
          <a:pPr>
            <a:defRPr sz="1600" b="1" i="0" u="none" strike="noStrike" kern="1200" baseline="0">
              <a:solidFill>
                <a:schemeClr val="tx2"/>
              </a:solidFill>
              <a:latin typeface="+mn-lt"/>
              <a:ea typeface="+mn-ea"/>
              <a:cs typeface="+mn-cs"/>
            </a:defRPr>
          </a:pPr>
          <a:endParaRPr lang="en-US"/>
        </a:p>
      </c:txPr>
    </c:title>
    <c:autoTitleDeleted val="0"/>
    <c:plotArea>
      <c:layout>
        <c:manualLayout>
          <c:layoutTarget val="inner"/>
          <c:xMode val="edge"/>
          <c:yMode val="edge"/>
          <c:x val="0.11560664192794678"/>
          <c:y val="0.2295334317517522"/>
          <c:w val="0.85546156461979228"/>
          <c:h val="0.6318189540321355"/>
        </c:manualLayout>
      </c:layout>
      <c:barChart>
        <c:barDir val="col"/>
        <c:grouping val="clustered"/>
        <c:varyColors val="0"/>
        <c:ser>
          <c:idx val="0"/>
          <c:order val="0"/>
          <c:tx>
            <c:strRef>
              <c:f>Calc!$F$143</c:f>
              <c:strCache>
                <c:ptCount val="1"/>
                <c:pt idx="0">
                  <c:v>NOx</c:v>
                </c:pt>
              </c:strCache>
            </c:strRef>
          </c:tx>
          <c:spPr>
            <a:solidFill>
              <a:schemeClr val="accent4"/>
            </a:solidFill>
            <a:ln>
              <a:noFill/>
            </a:ln>
            <a:effectLst>
              <a:outerShdw blurRad="40000" dist="23000" dir="5400000" rotWithShape="0">
                <a:srgbClr val="000000">
                  <a:alpha val="35000"/>
                </a:srgb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2"/>
                    </a:solidFill>
                    <a:latin typeface="+mn-lt"/>
                    <a:ea typeface="+mn-ea"/>
                    <a:cs typeface="+mn-cs"/>
                  </a:defRPr>
                </a:pPr>
                <a:endParaRPr lang="en-US"/>
              </a:p>
            </c:txPr>
            <c:dLblPos val="outEnd"/>
            <c:showLegendKey val="0"/>
            <c:showVal val="1"/>
            <c:showCatName val="0"/>
            <c:showSerName val="0"/>
            <c:showPercent val="0"/>
            <c:showBubbleSize val="0"/>
            <c:showLeaderLines val="0"/>
            <c:extLst xmlns:c16="http://schemas.microsoft.com/office/drawing/2014/chart" xmlns:c15="http://schemas.microsoft.com/office/drawing/2012/chart" xmlns:c14="http://schemas.microsoft.com/office/drawing/2007/8/2/chart" xmlns:mc="http://schemas.openxmlformats.org/markup-compatibility/2006">
              <c:ext xmlns:c15="http://schemas.microsoft.com/office/drawing/2012/chart" uri="{CE6537A1-D6FC-4f65-9D91-7224C49458BB}">
                <c15:showLeaderLines val="1"/>
                <c15:leaderLines>
                  <c:spPr>
                    <a:ln w="9525">
                      <a:solidFill>
                        <a:schemeClr val="tx2">
                          <a:lumMod val="35000"/>
                          <a:lumOff val="65000"/>
                        </a:schemeClr>
                      </a:solidFill>
                    </a:ln>
                    <a:effectLst/>
                  </c:spPr>
                </c15:leaderLines>
              </c:ext>
            </c:extLst>
          </c:dLbls>
          <c:cat>
            <c:strRef>
              <c:f>Calc!$G$142:$H$142</c:f>
              <c:strCache>
                <c:ptCount val="2"/>
                <c:pt idx="0">
                  <c:v>Current Home</c:v>
                </c:pt>
                <c:pt idx="1">
                  <c:v>Gas Home</c:v>
                </c:pt>
              </c:strCache>
            </c:strRef>
          </c:cat>
          <c:val>
            <c:numRef>
              <c:f>Calc!$G$143:$H$143</c:f>
              <c:numCache>
                <c:formatCode>#,##0</c:formatCode>
                <c:ptCount val="2"/>
                <c:pt idx="0">
                  <c:v>10.281449733364269</c:v>
                </c:pt>
                <c:pt idx="1">
                  <c:v>11.777151710377476</c:v>
                </c:pt>
              </c:numCache>
            </c:numRef>
          </c:val>
          <c:extLst xmlns:c16="http://schemas.microsoft.com/office/drawing/2014/chart" xmlns:c15="http://schemas.microsoft.com/office/drawing/2012/chart" xmlns:c14="http://schemas.microsoft.com/office/drawing/2007/8/2/chart" xmlns:mc="http://schemas.openxmlformats.org/markup-compatibility/2006">
            <c:ext xmlns:c16="http://schemas.microsoft.com/office/drawing/2014/chart" uri="{C3380CC4-5D6E-409C-BE32-E72D297353CC}">
              <c16:uniqueId val="{00000000-5832-4EE0-94A2-42BFA572AD23}"/>
            </c:ext>
          </c:extLst>
        </c:ser>
        <c:ser>
          <c:idx val="1"/>
          <c:order val="1"/>
          <c:tx>
            <c:strRef>
              <c:f>Calc!$F$144</c:f>
              <c:strCache>
                <c:ptCount val="1"/>
                <c:pt idx="0">
                  <c:v>SOx</c:v>
                </c:pt>
              </c:strCache>
            </c:strRef>
          </c:tx>
          <c:spPr>
            <a:solidFill>
              <a:schemeClr val="accent3"/>
            </a:solidFill>
            <a:ln>
              <a:noFill/>
            </a:ln>
            <a:effectLst>
              <a:outerShdw blurRad="40000" dist="23000" dir="5400000" rotWithShape="0">
                <a:srgbClr val="000000">
                  <a:alpha val="35000"/>
                </a:srgb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2"/>
                    </a:solidFill>
                    <a:latin typeface="+mn-lt"/>
                    <a:ea typeface="+mn-ea"/>
                    <a:cs typeface="+mn-cs"/>
                  </a:defRPr>
                </a:pPr>
                <a:endParaRPr lang="en-US"/>
              </a:p>
            </c:txPr>
            <c:dLblPos val="outEnd"/>
            <c:showLegendKey val="0"/>
            <c:showVal val="1"/>
            <c:showCatName val="0"/>
            <c:showSerName val="0"/>
            <c:showPercent val="0"/>
            <c:showBubbleSize val="0"/>
            <c:showLeaderLines val="0"/>
            <c:extLst xmlns:c16="http://schemas.microsoft.com/office/drawing/2014/chart" xmlns:c15="http://schemas.microsoft.com/office/drawing/2012/chart" xmlns:c14="http://schemas.microsoft.com/office/drawing/2007/8/2/chart" xmlns:mc="http://schemas.openxmlformats.org/markup-compatibility/2006">
              <c:ext xmlns:c15="http://schemas.microsoft.com/office/drawing/2012/chart" uri="{CE6537A1-D6FC-4f65-9D91-7224C49458BB}">
                <c15:showLeaderLines val="1"/>
                <c15:leaderLines>
                  <c:spPr>
                    <a:ln w="9525">
                      <a:solidFill>
                        <a:schemeClr val="tx2">
                          <a:lumMod val="35000"/>
                          <a:lumOff val="65000"/>
                        </a:schemeClr>
                      </a:solidFill>
                    </a:ln>
                    <a:effectLst/>
                  </c:spPr>
                </c15:leaderLines>
              </c:ext>
            </c:extLst>
          </c:dLbls>
          <c:cat>
            <c:strRef>
              <c:f>Calc!$G$142:$H$142</c:f>
              <c:strCache>
                <c:ptCount val="2"/>
                <c:pt idx="0">
                  <c:v>Current Home</c:v>
                </c:pt>
                <c:pt idx="1">
                  <c:v>Gas Home</c:v>
                </c:pt>
              </c:strCache>
            </c:strRef>
          </c:cat>
          <c:val>
            <c:numRef>
              <c:f>Calc!$G$144:$H$144</c:f>
              <c:numCache>
                <c:formatCode>#,##0</c:formatCode>
                <c:ptCount val="2"/>
                <c:pt idx="0">
                  <c:v>8.2106788715740002</c:v>
                </c:pt>
                <c:pt idx="1">
                  <c:v>5.6131173200386901E-2</c:v>
                </c:pt>
              </c:numCache>
            </c:numRef>
          </c:val>
          <c:extLst xmlns:c16="http://schemas.microsoft.com/office/drawing/2014/chart" xmlns:c15="http://schemas.microsoft.com/office/drawing/2012/chart" xmlns:c14="http://schemas.microsoft.com/office/drawing/2007/8/2/chart" xmlns:mc="http://schemas.openxmlformats.org/markup-compatibility/2006">
            <c:ext xmlns:c16="http://schemas.microsoft.com/office/drawing/2014/chart" uri="{C3380CC4-5D6E-409C-BE32-E72D297353CC}">
              <c16:uniqueId val="{00000001-5832-4EE0-94A2-42BFA572AD23}"/>
            </c:ext>
          </c:extLst>
        </c:ser>
        <c:dLbls>
          <c:dLblPos val="outEnd"/>
          <c:showLegendKey val="0"/>
          <c:showVal val="1"/>
          <c:showCatName val="0"/>
          <c:showSerName val="0"/>
          <c:showPercent val="0"/>
          <c:showBubbleSize val="0"/>
        </c:dLbls>
        <c:gapWidth val="100"/>
        <c:overlap val="-24"/>
        <c:axId val="599220608"/>
        <c:axId val="599223008"/>
      </c:barChart>
      <c:catAx>
        <c:axId val="599220608"/>
        <c:scaling>
          <c:orientation val="minMax"/>
        </c:scaling>
        <c:delete val="0"/>
        <c:axPos val="b"/>
        <c:numFmt formatCode="General" sourceLinked="1"/>
        <c:majorTickMark val="none"/>
        <c:minorTickMark val="none"/>
        <c:tickLblPos val="nextTo"/>
        <c:spPr>
          <a:noFill/>
          <a:ln w="9525" cap="flat" cmpd="sng" algn="ctr">
            <a:solidFill>
              <a:schemeClr val="tx2">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2"/>
                </a:solidFill>
                <a:latin typeface="+mn-lt"/>
                <a:ea typeface="+mn-ea"/>
                <a:cs typeface="+mn-cs"/>
              </a:defRPr>
            </a:pPr>
            <a:endParaRPr lang="en-US"/>
          </a:p>
        </c:txPr>
        <c:crossAx val="599223008"/>
        <c:crosses val="autoZero"/>
        <c:auto val="1"/>
        <c:lblAlgn val="ctr"/>
        <c:lblOffset val="100"/>
        <c:noMultiLvlLbl val="0"/>
      </c:catAx>
      <c:valAx>
        <c:axId val="599223008"/>
        <c:scaling>
          <c:orientation val="minMax"/>
        </c:scaling>
        <c:delete val="0"/>
        <c:axPos val="l"/>
        <c:majorGridlines>
          <c:spPr>
            <a:ln w="9525" cap="flat" cmpd="sng" algn="ctr">
              <a:solidFill>
                <a:schemeClr val="tx2">
                  <a:lumMod val="15000"/>
                  <a:lumOff val="85000"/>
                </a:schemeClr>
              </a:solidFill>
              <a:round/>
            </a:ln>
            <a:effectLst/>
          </c:spPr>
        </c:majorGridlines>
        <c:title>
          <c:tx>
            <c:rich>
              <a:bodyPr rot="-5400000" spcFirstLastPara="1" vertOverflow="ellipsis" vert="horz" wrap="square" anchor="ctr" anchorCtr="1"/>
              <a:lstStyle/>
              <a:p>
                <a:pPr>
                  <a:defRPr sz="1100" b="1" i="0" u="none" strike="noStrike" kern="1200" baseline="0">
                    <a:solidFill>
                      <a:schemeClr val="tx2"/>
                    </a:solidFill>
                    <a:latin typeface="+mn-lt"/>
                    <a:ea typeface="+mn-ea"/>
                    <a:cs typeface="+mn-cs"/>
                  </a:defRPr>
                </a:pPr>
                <a:r>
                  <a:rPr lang="en-US" sz="1100"/>
                  <a:t>Emissions</a:t>
                </a:r>
                <a:r>
                  <a:rPr lang="en-US" sz="1100" baseline="0"/>
                  <a:t> (lbs/yr)</a:t>
                </a:r>
                <a:endParaRPr lang="en-US" sz="1100"/>
              </a:p>
            </c:rich>
          </c:tx>
          <c:layout>
            <c:manualLayout>
              <c:xMode val="edge"/>
              <c:yMode val="edge"/>
              <c:x val="2.3671467370031632E-2"/>
              <c:y val="0.33573732164798925"/>
            </c:manualLayout>
          </c:layout>
          <c:overlay val="0"/>
          <c:spPr>
            <a:noFill/>
            <a:ln>
              <a:noFill/>
            </a:ln>
            <a:effectLst/>
          </c:spPr>
          <c:txPr>
            <a:bodyPr rot="-5400000" spcFirstLastPara="1" vertOverflow="ellipsis" vert="horz" wrap="square" anchor="ctr" anchorCtr="1"/>
            <a:lstStyle/>
            <a:p>
              <a:pPr>
                <a:defRPr sz="1100" b="1" i="0" u="none" strike="noStrike" kern="1200" baseline="0">
                  <a:solidFill>
                    <a:schemeClr val="tx2"/>
                  </a:solidFill>
                  <a:latin typeface="+mn-lt"/>
                  <a:ea typeface="+mn-ea"/>
                  <a:cs typeface="+mn-cs"/>
                </a:defRPr>
              </a:pPr>
              <a:endParaRPr lang="en-US"/>
            </a:p>
          </c:txPr>
        </c:title>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1" i="0" u="none" strike="noStrike" kern="1200" baseline="0">
                <a:solidFill>
                  <a:schemeClr val="tx2"/>
                </a:solidFill>
                <a:latin typeface="+mn-lt"/>
                <a:ea typeface="+mn-ea"/>
                <a:cs typeface="+mn-cs"/>
              </a:defRPr>
            </a:pPr>
            <a:endParaRPr lang="en-US"/>
          </a:p>
        </c:txPr>
        <c:crossAx val="599220608"/>
        <c:crosses val="autoZero"/>
        <c:crossBetween val="between"/>
      </c:valAx>
      <c:spPr>
        <a:noFill/>
        <a:ln>
          <a:noFill/>
        </a:ln>
        <a:effectLst/>
      </c:spPr>
    </c:plotArea>
    <c:legend>
      <c:legendPos val="t"/>
      <c:layout>
        <c:manualLayout>
          <c:xMode val="edge"/>
          <c:yMode val="edge"/>
          <c:x val="0.41878314005893447"/>
          <c:y val="0.87288693267436712"/>
          <c:w val="0.20797658952886008"/>
          <c:h val="0.11362540409108021"/>
        </c:manualLayout>
      </c:layout>
      <c:overlay val="0"/>
      <c:spPr>
        <a:noFill/>
        <a:ln>
          <a:noFill/>
        </a:ln>
        <a:effectLst/>
      </c:spPr>
      <c:txPr>
        <a:bodyPr rot="0" spcFirstLastPara="1" vertOverflow="ellipsis" vert="horz" wrap="square" anchor="ctr" anchorCtr="1"/>
        <a:lstStyle/>
        <a:p>
          <a:pPr>
            <a:defRPr sz="1100" b="1" i="0" u="none" strike="noStrike" kern="1200" baseline="0">
              <a:solidFill>
                <a:schemeClr val="tx2"/>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2">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baseline="0">
                <a:solidFill>
                  <a:schemeClr val="tx2"/>
                </a:solidFill>
                <a:latin typeface="+mn-lt"/>
                <a:ea typeface="+mn-ea"/>
                <a:cs typeface="+mn-cs"/>
              </a:defRPr>
            </a:pPr>
            <a:r>
              <a:rPr lang="en-US"/>
              <a:t>CO2 Emissions - Current Home vs. Gas Home</a:t>
            </a:r>
          </a:p>
        </c:rich>
      </c:tx>
      <c:overlay val="0"/>
      <c:spPr>
        <a:noFill/>
        <a:ln>
          <a:noFill/>
        </a:ln>
        <a:effectLst/>
      </c:spPr>
      <c:txPr>
        <a:bodyPr rot="0" spcFirstLastPara="1" vertOverflow="ellipsis" vert="horz" wrap="square" anchor="ctr" anchorCtr="1"/>
        <a:lstStyle/>
        <a:p>
          <a:pPr>
            <a:defRPr sz="1600" b="1" i="0" u="none" strike="noStrike" kern="1200" baseline="0">
              <a:solidFill>
                <a:schemeClr val="tx2"/>
              </a:solidFill>
              <a:latin typeface="+mn-lt"/>
              <a:ea typeface="+mn-ea"/>
              <a:cs typeface="+mn-cs"/>
            </a:defRPr>
          </a:pPr>
          <a:endParaRPr lang="en-US"/>
        </a:p>
      </c:txPr>
    </c:title>
    <c:autoTitleDeleted val="0"/>
    <c:plotArea>
      <c:layout/>
      <c:barChart>
        <c:barDir val="col"/>
        <c:grouping val="stacked"/>
        <c:varyColors val="0"/>
        <c:ser>
          <c:idx val="0"/>
          <c:order val="0"/>
          <c:tx>
            <c:strRef>
              <c:f>Calc!$F$150</c:f>
              <c:strCache>
                <c:ptCount val="1"/>
                <c:pt idx="0">
                  <c:v>Space Heating</c:v>
                </c:pt>
              </c:strCache>
            </c:strRef>
          </c:tx>
          <c:spPr>
            <a:solidFill>
              <a:schemeClr val="tx2"/>
            </a:solidFill>
            <a:ln>
              <a:noFill/>
            </a:ln>
            <a:effectLst>
              <a:outerShdw blurRad="40000" dist="23000" dir="5400000" rotWithShape="0">
                <a:srgbClr val="000000">
                  <a:alpha val="35000"/>
                </a:srgbClr>
              </a:outerShdw>
            </a:effectLst>
          </c:spPr>
          <c:invertIfNegative val="0"/>
          <c:dLbls>
            <c:delete val="1"/>
          </c:dLbls>
          <c:cat>
            <c:strRef>
              <c:f>Calc!$G$149:$H$149</c:f>
              <c:strCache>
                <c:ptCount val="2"/>
                <c:pt idx="0">
                  <c:v>Current Home</c:v>
                </c:pt>
                <c:pt idx="1">
                  <c:v>Gas Home</c:v>
                </c:pt>
              </c:strCache>
            </c:strRef>
          </c:cat>
          <c:val>
            <c:numRef>
              <c:f>Calc!$G$150:$H$150</c:f>
              <c:numCache>
                <c:formatCode>_(* #,##0_);_(* \(#,##0\);_(* "-"??_);_(@_)</c:formatCode>
                <c:ptCount val="2"/>
                <c:pt idx="0">
                  <c:v>9896.64072606021</c:v>
                </c:pt>
                <c:pt idx="1">
                  <c:v>7299.7982481940098</c:v>
                </c:pt>
              </c:numCache>
            </c:numRef>
          </c:val>
          <c:extLst xmlns:c15="http://schemas.microsoft.com/office/drawing/2012/chart" xmlns:c16="http://schemas.microsoft.com/office/drawing/2014/chart" xmlns:c14="http://schemas.microsoft.com/office/drawing/2007/8/2/chart" xmlns:mc="http://schemas.openxmlformats.org/markup-compatibility/2006">
            <c:ext xmlns:c16="http://schemas.microsoft.com/office/drawing/2014/chart" uri="{C3380CC4-5D6E-409C-BE32-E72D297353CC}">
              <c16:uniqueId val="{00000000-5794-4D91-BFAE-5C42B8B137FC}"/>
            </c:ext>
          </c:extLst>
        </c:ser>
        <c:ser>
          <c:idx val="1"/>
          <c:order val="1"/>
          <c:tx>
            <c:strRef>
              <c:f>Calc!$F$151</c:f>
              <c:strCache>
                <c:ptCount val="1"/>
                <c:pt idx="0">
                  <c:v>Water Heating</c:v>
                </c:pt>
              </c:strCache>
            </c:strRef>
          </c:tx>
          <c:spPr>
            <a:solidFill>
              <a:schemeClr val="tx2">
                <a:lumMod val="40000"/>
                <a:lumOff val="60000"/>
              </a:schemeClr>
            </a:solidFill>
            <a:ln>
              <a:noFill/>
            </a:ln>
            <a:effectLst>
              <a:outerShdw blurRad="40000" dist="23000" dir="5400000" rotWithShape="0">
                <a:srgbClr val="000000">
                  <a:alpha val="35000"/>
                </a:srgbClr>
              </a:outerShdw>
            </a:effectLst>
          </c:spPr>
          <c:invertIfNegative val="0"/>
          <c:dLbls>
            <c:delete val="1"/>
          </c:dLbls>
          <c:cat>
            <c:strRef>
              <c:f>Calc!$G$149:$H$149</c:f>
              <c:strCache>
                <c:ptCount val="2"/>
                <c:pt idx="0">
                  <c:v>Current Home</c:v>
                </c:pt>
                <c:pt idx="1">
                  <c:v>Gas Home</c:v>
                </c:pt>
              </c:strCache>
            </c:strRef>
          </c:cat>
          <c:val>
            <c:numRef>
              <c:f>Calc!$G$151:$H$151</c:f>
              <c:numCache>
                <c:formatCode>_(* #,##0_);_(* \(#,##0\);_(* "-"??_);_(@_)</c:formatCode>
                <c:ptCount val="2"/>
                <c:pt idx="0">
                  <c:v>6977.585612267646</c:v>
                </c:pt>
                <c:pt idx="1">
                  <c:v>3312.171399594321</c:v>
                </c:pt>
              </c:numCache>
            </c:numRef>
          </c:val>
          <c:extLst xmlns:c15="http://schemas.microsoft.com/office/drawing/2012/chart" xmlns:c16="http://schemas.microsoft.com/office/drawing/2014/chart" xmlns:c14="http://schemas.microsoft.com/office/drawing/2007/8/2/chart" xmlns:mc="http://schemas.openxmlformats.org/markup-compatibility/2006">
            <c:ext xmlns:c16="http://schemas.microsoft.com/office/drawing/2014/chart" uri="{C3380CC4-5D6E-409C-BE32-E72D297353CC}">
              <c16:uniqueId val="{00000001-5794-4D91-BFAE-5C42B8B137FC}"/>
            </c:ext>
          </c:extLst>
        </c:ser>
        <c:ser>
          <c:idx val="2"/>
          <c:order val="2"/>
          <c:tx>
            <c:strRef>
              <c:f>Calc!$F$152</c:f>
              <c:strCache>
                <c:ptCount val="1"/>
                <c:pt idx="0">
                  <c:v>Clothes Drying</c:v>
                </c:pt>
              </c:strCache>
            </c:strRef>
          </c:tx>
          <c:spPr>
            <a:solidFill>
              <a:schemeClr val="accent6">
                <a:lumMod val="60000"/>
                <a:lumOff val="40000"/>
              </a:schemeClr>
            </a:solidFill>
            <a:ln>
              <a:noFill/>
            </a:ln>
            <a:effectLst>
              <a:outerShdw blurRad="40000" dist="23000" dir="5400000" rotWithShape="0">
                <a:srgbClr val="000000">
                  <a:alpha val="35000"/>
                </a:srgbClr>
              </a:outerShdw>
            </a:effectLst>
          </c:spPr>
          <c:invertIfNegative val="0"/>
          <c:dLbls>
            <c:delete val="1"/>
          </c:dLbls>
          <c:cat>
            <c:strRef>
              <c:f>Calc!$G$149:$H$149</c:f>
              <c:strCache>
                <c:ptCount val="2"/>
                <c:pt idx="0">
                  <c:v>Current Home</c:v>
                </c:pt>
                <c:pt idx="1">
                  <c:v>Gas Home</c:v>
                </c:pt>
              </c:strCache>
            </c:strRef>
          </c:cat>
          <c:val>
            <c:numRef>
              <c:f>Calc!$G$152:$H$152</c:f>
              <c:numCache>
                <c:formatCode>_(* #,##0_);_(* \(#,##0\);_(* "-"??_);_(@_)</c:formatCode>
                <c:ptCount val="2"/>
                <c:pt idx="0">
                  <c:v>1047.1884426904774</c:v>
                </c:pt>
                <c:pt idx="1">
                  <c:v>437.7944040537563</c:v>
                </c:pt>
              </c:numCache>
            </c:numRef>
          </c:val>
          <c:extLst xmlns:c15="http://schemas.microsoft.com/office/drawing/2012/chart" xmlns:c16="http://schemas.microsoft.com/office/drawing/2014/chart" xmlns:c14="http://schemas.microsoft.com/office/drawing/2007/8/2/chart" xmlns:mc="http://schemas.openxmlformats.org/markup-compatibility/2006">
            <c:ext xmlns:c16="http://schemas.microsoft.com/office/drawing/2014/chart" uri="{C3380CC4-5D6E-409C-BE32-E72D297353CC}">
              <c16:uniqueId val="{00000002-5794-4D91-BFAE-5C42B8B137FC}"/>
            </c:ext>
          </c:extLst>
        </c:ser>
        <c:ser>
          <c:idx val="3"/>
          <c:order val="3"/>
          <c:tx>
            <c:strRef>
              <c:f>Calc!$F$153</c:f>
              <c:strCache>
                <c:ptCount val="1"/>
                <c:pt idx="0">
                  <c:v>Cooking</c:v>
                </c:pt>
              </c:strCache>
            </c:strRef>
          </c:tx>
          <c:spPr>
            <a:solidFill>
              <a:schemeClr val="accent6">
                <a:lumMod val="50000"/>
              </a:schemeClr>
            </a:solidFill>
            <a:ln>
              <a:noFill/>
            </a:ln>
            <a:effectLst>
              <a:outerShdw blurRad="40000" dist="23000" dir="5400000" rotWithShape="0">
                <a:srgbClr val="000000">
                  <a:alpha val="35000"/>
                </a:srgbClr>
              </a:outerShdw>
            </a:effectLst>
          </c:spPr>
          <c:invertIfNegative val="0"/>
          <c:dLbls>
            <c:delete val="1"/>
          </c:dLbls>
          <c:cat>
            <c:strRef>
              <c:f>Calc!$G$149:$H$149</c:f>
              <c:strCache>
                <c:ptCount val="2"/>
                <c:pt idx="0">
                  <c:v>Current Home</c:v>
                </c:pt>
                <c:pt idx="1">
                  <c:v>Gas Home</c:v>
                </c:pt>
              </c:strCache>
            </c:strRef>
          </c:cat>
          <c:val>
            <c:numRef>
              <c:f>Calc!$G$153:$H$153</c:f>
              <c:numCache>
                <c:formatCode>_(* #,##0_);_(* \(#,##0\);_(* "-"??_);_(@_)</c:formatCode>
                <c:ptCount val="2"/>
                <c:pt idx="0">
                  <c:v>473.09797511344505</c:v>
                </c:pt>
                <c:pt idx="1">
                  <c:v>176</c:v>
                </c:pt>
              </c:numCache>
            </c:numRef>
          </c:val>
          <c:extLst xmlns:c15="http://schemas.microsoft.com/office/drawing/2012/chart" xmlns:c16="http://schemas.microsoft.com/office/drawing/2014/chart" xmlns:c14="http://schemas.microsoft.com/office/drawing/2007/8/2/chart" xmlns:mc="http://schemas.openxmlformats.org/markup-compatibility/2006">
            <c:ext xmlns:c16="http://schemas.microsoft.com/office/drawing/2014/chart" uri="{C3380CC4-5D6E-409C-BE32-E72D297353CC}">
              <c16:uniqueId val="{00000003-5794-4D91-BFAE-5C42B8B137FC}"/>
            </c:ext>
          </c:extLst>
        </c:ser>
        <c:dLbls>
          <c:dLblPos val="ctr"/>
          <c:showLegendKey val="0"/>
          <c:showVal val="1"/>
          <c:showCatName val="0"/>
          <c:showSerName val="0"/>
          <c:showPercent val="0"/>
          <c:showBubbleSize val="0"/>
        </c:dLbls>
        <c:gapWidth val="150"/>
        <c:overlap val="100"/>
        <c:axId val="1265091136"/>
        <c:axId val="1265079136"/>
      </c:barChart>
      <c:lineChart>
        <c:grouping val="standard"/>
        <c:varyColors val="0"/>
        <c:ser>
          <c:idx val="4"/>
          <c:order val="4"/>
          <c:tx>
            <c:strRef>
              <c:f>Calc!$F$154</c:f>
              <c:strCache>
                <c:ptCount val="1"/>
                <c:pt idx="0">
                  <c:v>Total</c:v>
                </c:pt>
              </c:strCache>
            </c:strRef>
          </c:tx>
          <c:spPr>
            <a:ln w="31750" cap="rnd">
              <a:noFill/>
              <a:round/>
            </a:ln>
            <a:effectLst>
              <a:outerShdw blurRad="40000" dist="23000" dir="5400000" rotWithShape="0">
                <a:srgbClr val="000000">
                  <a:alpha val="35000"/>
                </a:srgbClr>
              </a:outerShdw>
            </a:effectLst>
          </c:spPr>
          <c:marker>
            <c:symbol val="none"/>
          </c:marker>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2"/>
                    </a:solidFill>
                    <a:latin typeface="+mn-lt"/>
                    <a:ea typeface="+mn-ea"/>
                    <a:cs typeface="+mn-cs"/>
                  </a:defRPr>
                </a:pPr>
                <a:endParaRPr lang="en-US"/>
              </a:p>
            </c:txPr>
            <c:dLblPos val="t"/>
            <c:showLegendKey val="0"/>
            <c:showVal val="1"/>
            <c:showCatName val="0"/>
            <c:showSerName val="0"/>
            <c:showPercent val="0"/>
            <c:showBubbleSize val="0"/>
            <c:showLeaderLines val="0"/>
            <c:extLst xmlns:c15="http://schemas.microsoft.com/office/drawing/2012/chart" xmlns:c16="http://schemas.microsoft.com/office/drawing/2014/chart" xmlns:c14="http://schemas.microsoft.com/office/drawing/2007/8/2/chart" xmlns:mc="http://schemas.openxmlformats.org/markup-compatibility/2006">
              <c:ext xmlns:c15="http://schemas.microsoft.com/office/drawing/2012/chart" uri="{CE6537A1-D6FC-4f65-9D91-7224C49458BB}">
                <c15:showLeaderLines val="1"/>
                <c15:leaderLines>
                  <c:spPr>
                    <a:ln w="9525">
                      <a:solidFill>
                        <a:schemeClr val="tx2">
                          <a:lumMod val="35000"/>
                          <a:lumOff val="65000"/>
                        </a:schemeClr>
                      </a:solidFill>
                    </a:ln>
                    <a:effectLst/>
                  </c:spPr>
                </c15:leaderLines>
              </c:ext>
            </c:extLst>
          </c:dLbls>
          <c:cat>
            <c:strRef>
              <c:f>Calc!$G$149:$H$149</c:f>
              <c:strCache>
                <c:ptCount val="2"/>
                <c:pt idx="0">
                  <c:v>Current Home</c:v>
                </c:pt>
                <c:pt idx="1">
                  <c:v>Gas Home</c:v>
                </c:pt>
              </c:strCache>
            </c:strRef>
          </c:cat>
          <c:val>
            <c:numRef>
              <c:f>Calc!$G$154:$H$154</c:f>
              <c:numCache>
                <c:formatCode>_(* #,##0_);_(* \(#,##0\);_(* "-"??_);_(@_)</c:formatCode>
                <c:ptCount val="2"/>
                <c:pt idx="0">
                  <c:v>18394.512756131775</c:v>
                </c:pt>
                <c:pt idx="1">
                  <c:v>11225.764051842087</c:v>
                </c:pt>
              </c:numCache>
            </c:numRef>
          </c:val>
          <c:smooth val="0"/>
          <c:extLst xmlns:c15="http://schemas.microsoft.com/office/drawing/2012/chart" xmlns:c16="http://schemas.microsoft.com/office/drawing/2014/chart" xmlns:c14="http://schemas.microsoft.com/office/drawing/2007/8/2/chart" xmlns:mc="http://schemas.openxmlformats.org/markup-compatibility/2006">
            <c:ext xmlns:c16="http://schemas.microsoft.com/office/drawing/2014/chart" uri="{C3380CC4-5D6E-409C-BE32-E72D297353CC}">
              <c16:uniqueId val="{00000000-6EF2-4CA3-B50A-A1FAC1C1395B}"/>
            </c:ext>
          </c:extLst>
        </c:ser>
        <c:dLbls>
          <c:showLegendKey val="0"/>
          <c:showVal val="0"/>
          <c:showCatName val="0"/>
          <c:showSerName val="0"/>
          <c:showPercent val="0"/>
          <c:showBubbleSize val="0"/>
        </c:dLbls>
        <c:marker val="1"/>
        <c:smooth val="0"/>
        <c:axId val="1265091136"/>
        <c:axId val="1265079136"/>
      </c:lineChart>
      <c:catAx>
        <c:axId val="1265091136"/>
        <c:scaling>
          <c:orientation val="minMax"/>
        </c:scaling>
        <c:delete val="0"/>
        <c:axPos val="b"/>
        <c:numFmt formatCode="General" sourceLinked="1"/>
        <c:majorTickMark val="none"/>
        <c:minorTickMark val="none"/>
        <c:tickLblPos val="nextTo"/>
        <c:spPr>
          <a:noFill/>
          <a:ln w="9525" cap="flat" cmpd="sng" algn="ctr">
            <a:solidFill>
              <a:schemeClr val="tx2">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2"/>
                </a:solidFill>
                <a:latin typeface="+mn-lt"/>
                <a:ea typeface="+mn-ea"/>
                <a:cs typeface="+mn-cs"/>
              </a:defRPr>
            </a:pPr>
            <a:endParaRPr lang="en-US"/>
          </a:p>
        </c:txPr>
        <c:crossAx val="1265079136"/>
        <c:crosses val="autoZero"/>
        <c:auto val="1"/>
        <c:lblAlgn val="ctr"/>
        <c:lblOffset val="100"/>
        <c:noMultiLvlLbl val="0"/>
      </c:catAx>
      <c:valAx>
        <c:axId val="1265079136"/>
        <c:scaling>
          <c:orientation val="minMax"/>
        </c:scaling>
        <c:delete val="0"/>
        <c:axPos val="l"/>
        <c:majorGridlines>
          <c:spPr>
            <a:ln w="9525" cap="flat" cmpd="sng" algn="ctr">
              <a:solidFill>
                <a:schemeClr val="tx2">
                  <a:lumMod val="15000"/>
                  <a:lumOff val="85000"/>
                </a:schemeClr>
              </a:solidFill>
              <a:round/>
            </a:ln>
            <a:effectLst/>
          </c:spPr>
        </c:majorGridlines>
        <c:title>
          <c:tx>
            <c:rich>
              <a:bodyPr rot="-5400000" spcFirstLastPara="1" vertOverflow="ellipsis" vert="horz" wrap="square" anchor="ctr" anchorCtr="1"/>
              <a:lstStyle/>
              <a:p>
                <a:pPr>
                  <a:defRPr sz="1100" b="1" i="0" u="none" strike="noStrike" kern="1200" baseline="0">
                    <a:solidFill>
                      <a:schemeClr val="tx2"/>
                    </a:solidFill>
                    <a:latin typeface="+mn-lt"/>
                    <a:ea typeface="+mn-ea"/>
                    <a:cs typeface="+mn-cs"/>
                  </a:defRPr>
                </a:pPr>
                <a:r>
                  <a:rPr lang="en-US" sz="1100"/>
                  <a:t> CO2 Emissions (lbs/yr)</a:t>
                </a:r>
              </a:p>
            </c:rich>
          </c:tx>
          <c:overlay val="0"/>
          <c:spPr>
            <a:noFill/>
            <a:ln>
              <a:noFill/>
            </a:ln>
            <a:effectLst/>
          </c:spPr>
          <c:txPr>
            <a:bodyPr rot="-5400000" spcFirstLastPara="1" vertOverflow="ellipsis" vert="horz" wrap="square" anchor="ctr" anchorCtr="1"/>
            <a:lstStyle/>
            <a:p>
              <a:pPr>
                <a:defRPr sz="1100" b="1" i="0" u="none" strike="noStrike" kern="1200" baseline="0">
                  <a:solidFill>
                    <a:schemeClr val="tx2"/>
                  </a:solidFill>
                  <a:latin typeface="+mn-lt"/>
                  <a:ea typeface="+mn-ea"/>
                  <a:cs typeface="+mn-cs"/>
                </a:defRPr>
              </a:pPr>
              <a:endParaRPr lang="en-US"/>
            </a:p>
          </c:txPr>
        </c:title>
        <c:numFmt formatCode="_(* #,##0_);_(* \(#,##0\);_(* &quot;-&quot;??_);_(@_)" sourceLinked="1"/>
        <c:majorTickMark val="none"/>
        <c:minorTickMark val="none"/>
        <c:tickLblPos val="nextTo"/>
        <c:spPr>
          <a:noFill/>
          <a:ln>
            <a:noFill/>
          </a:ln>
          <a:effectLst/>
        </c:spPr>
        <c:txPr>
          <a:bodyPr rot="-60000000" spcFirstLastPara="1" vertOverflow="ellipsis" vert="horz" wrap="square" anchor="ctr" anchorCtr="1"/>
          <a:lstStyle/>
          <a:p>
            <a:pPr>
              <a:defRPr sz="900" b="1" i="0" u="none" strike="noStrike" kern="1200" baseline="0">
                <a:solidFill>
                  <a:schemeClr val="tx2"/>
                </a:solidFill>
                <a:latin typeface="+mn-lt"/>
                <a:ea typeface="+mn-ea"/>
                <a:cs typeface="+mn-cs"/>
              </a:defRPr>
            </a:pPr>
            <a:endParaRPr lang="en-US"/>
          </a:p>
        </c:txPr>
        <c:crossAx val="1265091136"/>
        <c:crosses val="autoZero"/>
        <c:crossBetween val="between"/>
      </c:valAx>
      <c:spPr>
        <a:noFill/>
        <a:ln>
          <a:noFill/>
        </a:ln>
        <a:effectLst/>
      </c:spPr>
    </c:plotArea>
    <c:legend>
      <c:legendPos val="b"/>
      <c:legendEntry>
        <c:idx val="4"/>
        <c:delete val="1"/>
      </c:legendEntry>
      <c:overlay val="0"/>
      <c:spPr>
        <a:noFill/>
        <a:ln>
          <a:noFill/>
        </a:ln>
        <a:effectLst/>
      </c:spPr>
      <c:txPr>
        <a:bodyPr rot="0" spcFirstLastPara="1" vertOverflow="ellipsis" vert="horz" wrap="square" anchor="ctr" anchorCtr="1"/>
        <a:lstStyle/>
        <a:p>
          <a:pPr>
            <a:defRPr lang="en-US" sz="1100" b="1" i="0" u="none" strike="noStrike" kern="1200" baseline="0">
              <a:solidFill>
                <a:schemeClr val="tx2"/>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2">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baseline="0">
                <a:solidFill>
                  <a:schemeClr val="tx2"/>
                </a:solidFill>
                <a:latin typeface="+mn-lt"/>
                <a:ea typeface="+mn-ea"/>
                <a:cs typeface="+mn-cs"/>
              </a:defRPr>
            </a:pPr>
            <a:r>
              <a:rPr lang="en-US"/>
              <a:t>Cost Values - Current Home vs Gas Home </a:t>
            </a:r>
          </a:p>
        </c:rich>
      </c:tx>
      <c:overlay val="0"/>
      <c:spPr>
        <a:noFill/>
        <a:ln>
          <a:noFill/>
        </a:ln>
        <a:effectLst/>
      </c:spPr>
      <c:txPr>
        <a:bodyPr rot="0" spcFirstLastPara="1" vertOverflow="ellipsis" vert="horz" wrap="square" anchor="ctr" anchorCtr="1"/>
        <a:lstStyle/>
        <a:p>
          <a:pPr>
            <a:defRPr sz="1600" b="1" i="0" u="none" strike="noStrike" kern="1200" baseline="0">
              <a:solidFill>
                <a:schemeClr val="tx2"/>
              </a:solidFill>
              <a:latin typeface="+mn-lt"/>
              <a:ea typeface="+mn-ea"/>
              <a:cs typeface="+mn-cs"/>
            </a:defRPr>
          </a:pPr>
          <a:endParaRPr lang="en-US"/>
        </a:p>
      </c:txPr>
    </c:title>
    <c:autoTitleDeleted val="0"/>
    <c:plotArea>
      <c:layout/>
      <c:barChart>
        <c:barDir val="col"/>
        <c:grouping val="stacked"/>
        <c:varyColors val="0"/>
        <c:ser>
          <c:idx val="0"/>
          <c:order val="0"/>
          <c:tx>
            <c:strRef>
              <c:f>Calc!$F$133</c:f>
              <c:strCache>
                <c:ptCount val="1"/>
                <c:pt idx="0">
                  <c:v>Space Heating</c:v>
                </c:pt>
              </c:strCache>
            </c:strRef>
          </c:tx>
          <c:spPr>
            <a:solidFill>
              <a:schemeClr val="tx2"/>
            </a:solidFill>
            <a:ln>
              <a:noFill/>
            </a:ln>
            <a:effectLst>
              <a:outerShdw blurRad="40000" dist="23000" dir="5400000" rotWithShape="0">
                <a:srgbClr val="000000">
                  <a:alpha val="35000"/>
                </a:srgb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2"/>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2">
                          <a:lumMod val="35000"/>
                          <a:lumOff val="65000"/>
                        </a:schemeClr>
                      </a:solidFill>
                    </a:ln>
                    <a:effectLst/>
                  </c:spPr>
                </c15:leaderLines>
              </c:ext>
            </c:extLst>
          </c:dLbls>
          <c:cat>
            <c:strRef>
              <c:f>Calc!$G$132:$H$132</c:f>
              <c:strCache>
                <c:ptCount val="2"/>
                <c:pt idx="0">
                  <c:v>Current Home</c:v>
                </c:pt>
                <c:pt idx="1">
                  <c:v>Gas Home</c:v>
                </c:pt>
              </c:strCache>
            </c:strRef>
          </c:cat>
          <c:val>
            <c:numRef>
              <c:f>Calc!$G$133:$H$133</c:f>
              <c:numCache>
                <c:formatCode>_("$"* #,##0_);_("$"* \(#,##0\);_("$"* "-"??_);_(@_)</c:formatCode>
                <c:ptCount val="2"/>
                <c:pt idx="0">
                  <c:v>1180.4986249360509</c:v>
                </c:pt>
                <c:pt idx="1">
                  <c:v>920.1760681760959</c:v>
                </c:pt>
              </c:numCache>
            </c:numRef>
          </c:val>
          <c:extLst>
            <c:ext xmlns:c16="http://schemas.microsoft.com/office/drawing/2014/chart" uri="{C3380CC4-5D6E-409C-BE32-E72D297353CC}">
              <c16:uniqueId val="{00000000-880B-4A80-A00C-24C400A464FF}"/>
            </c:ext>
          </c:extLst>
        </c:ser>
        <c:ser>
          <c:idx val="1"/>
          <c:order val="1"/>
          <c:tx>
            <c:strRef>
              <c:f>Calc!$F$134</c:f>
              <c:strCache>
                <c:ptCount val="1"/>
                <c:pt idx="0">
                  <c:v>Water Heating</c:v>
                </c:pt>
              </c:strCache>
            </c:strRef>
          </c:tx>
          <c:spPr>
            <a:solidFill>
              <a:schemeClr val="tx2">
                <a:lumMod val="40000"/>
                <a:lumOff val="60000"/>
              </a:schemeClr>
            </a:solidFill>
            <a:ln>
              <a:noFill/>
            </a:ln>
            <a:effectLst>
              <a:outerShdw blurRad="40000" dist="23000" dir="5400000" rotWithShape="0">
                <a:srgbClr val="000000">
                  <a:alpha val="35000"/>
                </a:srgbClr>
              </a:outerShdw>
            </a:effectLst>
          </c:spPr>
          <c:invertIfNegative val="0"/>
          <c:dLbls>
            <c:delete val="1"/>
          </c:dLbls>
          <c:cat>
            <c:strRef>
              <c:f>Calc!$G$132:$H$132</c:f>
              <c:strCache>
                <c:ptCount val="2"/>
                <c:pt idx="0">
                  <c:v>Current Home</c:v>
                </c:pt>
                <c:pt idx="1">
                  <c:v>Gas Home</c:v>
                </c:pt>
              </c:strCache>
            </c:strRef>
          </c:cat>
          <c:val>
            <c:numRef>
              <c:f>Calc!$G$134:$H$134</c:f>
              <c:numCache>
                <c:formatCode>_("$"* #,##0_);_("$"* \(#,##0\);_("$"* "-"??_);_(@_)</c:formatCode>
                <c:ptCount val="2"/>
                <c:pt idx="0">
                  <c:v>832.30567307202205</c:v>
                </c:pt>
                <c:pt idx="1">
                  <c:v>417.51576577586218</c:v>
                </c:pt>
              </c:numCache>
            </c:numRef>
          </c:val>
          <c:extLst>
            <c:ext xmlns:c16="http://schemas.microsoft.com/office/drawing/2014/chart" uri="{C3380CC4-5D6E-409C-BE32-E72D297353CC}">
              <c16:uniqueId val="{00000001-880B-4A80-A00C-24C400A464FF}"/>
            </c:ext>
          </c:extLst>
        </c:ser>
        <c:ser>
          <c:idx val="2"/>
          <c:order val="2"/>
          <c:tx>
            <c:strRef>
              <c:f>Calc!$F$135</c:f>
              <c:strCache>
                <c:ptCount val="1"/>
                <c:pt idx="0">
                  <c:v>Clothes Drying</c:v>
                </c:pt>
              </c:strCache>
            </c:strRef>
          </c:tx>
          <c:spPr>
            <a:solidFill>
              <a:schemeClr val="accent6">
                <a:lumMod val="60000"/>
                <a:lumOff val="40000"/>
              </a:schemeClr>
            </a:solidFill>
            <a:ln>
              <a:noFill/>
            </a:ln>
            <a:effectLst>
              <a:outerShdw blurRad="40000" dist="23000" dir="5400000" rotWithShape="0">
                <a:srgbClr val="000000">
                  <a:alpha val="35000"/>
                </a:srgbClr>
              </a:outerShdw>
            </a:effectLst>
          </c:spPr>
          <c:invertIfNegative val="0"/>
          <c:dLbls>
            <c:delete val="1"/>
          </c:dLbls>
          <c:cat>
            <c:strRef>
              <c:f>Calc!$G$132:$H$132</c:f>
              <c:strCache>
                <c:ptCount val="2"/>
                <c:pt idx="0">
                  <c:v>Current Home</c:v>
                </c:pt>
                <c:pt idx="1">
                  <c:v>Gas Home</c:v>
                </c:pt>
              </c:strCache>
            </c:strRef>
          </c:cat>
          <c:val>
            <c:numRef>
              <c:f>Calc!$G$135:$H$135</c:f>
              <c:numCache>
                <c:formatCode>_("$"* #,##0_);_("$"* \(#,##0\);_("$"* "-"??_);_(@_)</c:formatCode>
                <c:ptCount val="2"/>
                <c:pt idx="0">
                  <c:v>124.91152815013403</c:v>
                </c:pt>
                <c:pt idx="1">
                  <c:v>55.186173602996256</c:v>
                </c:pt>
              </c:numCache>
            </c:numRef>
          </c:val>
          <c:extLst>
            <c:ext xmlns:c16="http://schemas.microsoft.com/office/drawing/2014/chart" uri="{C3380CC4-5D6E-409C-BE32-E72D297353CC}">
              <c16:uniqueId val="{00000002-880B-4A80-A00C-24C400A464FF}"/>
            </c:ext>
          </c:extLst>
        </c:ser>
        <c:ser>
          <c:idx val="3"/>
          <c:order val="3"/>
          <c:tx>
            <c:strRef>
              <c:f>Calc!$F$136</c:f>
              <c:strCache>
                <c:ptCount val="1"/>
                <c:pt idx="0">
                  <c:v>Cooking</c:v>
                </c:pt>
              </c:strCache>
            </c:strRef>
          </c:tx>
          <c:spPr>
            <a:solidFill>
              <a:schemeClr val="accent4">
                <a:lumMod val="75000"/>
              </a:schemeClr>
            </a:solidFill>
            <a:ln>
              <a:noFill/>
            </a:ln>
            <a:effectLst>
              <a:outerShdw blurRad="40000" dist="23000" dir="5400000" rotWithShape="0">
                <a:srgbClr val="000000">
                  <a:alpha val="35000"/>
                </a:srgbClr>
              </a:outerShdw>
            </a:effectLst>
          </c:spPr>
          <c:invertIfNegative val="0"/>
          <c:dLbls>
            <c:delete val="1"/>
          </c:dLbls>
          <c:cat>
            <c:strRef>
              <c:f>Calc!$G$132:$H$132</c:f>
              <c:strCache>
                <c:ptCount val="2"/>
                <c:pt idx="0">
                  <c:v>Current Home</c:v>
                </c:pt>
                <c:pt idx="1">
                  <c:v>Gas Home</c:v>
                </c:pt>
              </c:strCache>
            </c:strRef>
          </c:cat>
          <c:val>
            <c:numRef>
              <c:f>Calc!$G$136:$H$136</c:f>
              <c:numCache>
                <c:formatCode>_("$"* #,##0_);_("$"* \(#,##0\);_("$"* "-"??_);_(@_)</c:formatCode>
                <c:ptCount val="2"/>
                <c:pt idx="0">
                  <c:v>56.432432432432435</c:v>
                </c:pt>
                <c:pt idx="1">
                  <c:v>22.245000000000001</c:v>
                </c:pt>
              </c:numCache>
            </c:numRef>
          </c:val>
          <c:extLst>
            <c:ext xmlns:c16="http://schemas.microsoft.com/office/drawing/2014/chart" uri="{C3380CC4-5D6E-409C-BE32-E72D297353CC}">
              <c16:uniqueId val="{00000003-880B-4A80-A00C-24C400A464FF}"/>
            </c:ext>
          </c:extLst>
        </c:ser>
        <c:dLbls>
          <c:dLblPos val="ctr"/>
          <c:showLegendKey val="0"/>
          <c:showVal val="1"/>
          <c:showCatName val="0"/>
          <c:showSerName val="0"/>
          <c:showPercent val="0"/>
          <c:showBubbleSize val="0"/>
        </c:dLbls>
        <c:gapWidth val="150"/>
        <c:overlap val="100"/>
        <c:axId val="1434275232"/>
        <c:axId val="1434277152"/>
      </c:barChart>
      <c:catAx>
        <c:axId val="1434275232"/>
        <c:scaling>
          <c:orientation val="minMax"/>
        </c:scaling>
        <c:delete val="0"/>
        <c:axPos val="b"/>
        <c:numFmt formatCode="General" sourceLinked="1"/>
        <c:majorTickMark val="none"/>
        <c:minorTickMark val="none"/>
        <c:tickLblPos val="nextTo"/>
        <c:spPr>
          <a:noFill/>
          <a:ln w="9525" cap="flat" cmpd="sng" algn="ctr">
            <a:solidFill>
              <a:schemeClr val="tx2">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2"/>
                </a:solidFill>
                <a:latin typeface="+mn-lt"/>
                <a:ea typeface="+mn-ea"/>
                <a:cs typeface="+mn-cs"/>
              </a:defRPr>
            </a:pPr>
            <a:endParaRPr lang="en-US"/>
          </a:p>
        </c:txPr>
        <c:crossAx val="1434277152"/>
        <c:crosses val="autoZero"/>
        <c:auto val="1"/>
        <c:lblAlgn val="ctr"/>
        <c:lblOffset val="100"/>
        <c:noMultiLvlLbl val="0"/>
      </c:catAx>
      <c:valAx>
        <c:axId val="1434277152"/>
        <c:scaling>
          <c:orientation val="minMax"/>
        </c:scaling>
        <c:delete val="0"/>
        <c:axPos val="l"/>
        <c:numFmt formatCode="_(&quot;$&quot;* #,##0_);_(&quot;$&quot;* \(#,##0\);_(&quot;$&quot;* &quot;-&quot;??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2"/>
                </a:solidFill>
                <a:latin typeface="+mn-lt"/>
                <a:ea typeface="+mn-ea"/>
                <a:cs typeface="+mn-cs"/>
              </a:defRPr>
            </a:pPr>
            <a:endParaRPr lang="en-US"/>
          </a:p>
        </c:txPr>
        <c:crossAx val="1434275232"/>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2"/>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2">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baseline="0">
                <a:solidFill>
                  <a:schemeClr val="tx2"/>
                </a:solidFill>
                <a:latin typeface="+mn-lt"/>
                <a:ea typeface="+mn-ea"/>
                <a:cs typeface="+mn-cs"/>
              </a:defRPr>
            </a:pPr>
            <a:r>
              <a:rPr lang="en-US"/>
              <a:t>NOx &amp; SOx Emissions</a:t>
            </a:r>
          </a:p>
        </c:rich>
      </c:tx>
      <c:overlay val="0"/>
      <c:spPr>
        <a:noFill/>
        <a:ln>
          <a:noFill/>
        </a:ln>
        <a:effectLst/>
      </c:spPr>
      <c:txPr>
        <a:bodyPr rot="0" spcFirstLastPara="1" vertOverflow="ellipsis" vert="horz" wrap="square" anchor="ctr" anchorCtr="1"/>
        <a:lstStyle/>
        <a:p>
          <a:pPr>
            <a:defRPr sz="1600" b="1" i="0" u="none" strike="noStrike" kern="1200" baseline="0">
              <a:solidFill>
                <a:schemeClr val="tx2"/>
              </a:solidFill>
              <a:latin typeface="+mn-lt"/>
              <a:ea typeface="+mn-ea"/>
              <a:cs typeface="+mn-cs"/>
            </a:defRPr>
          </a:pPr>
          <a:endParaRPr lang="en-US"/>
        </a:p>
      </c:txPr>
    </c:title>
    <c:autoTitleDeleted val="0"/>
    <c:plotArea>
      <c:layout/>
      <c:barChart>
        <c:barDir val="col"/>
        <c:grouping val="clustered"/>
        <c:varyColors val="0"/>
        <c:ser>
          <c:idx val="0"/>
          <c:order val="0"/>
          <c:tx>
            <c:strRef>
              <c:f>Calc!$F$143</c:f>
              <c:strCache>
                <c:ptCount val="1"/>
                <c:pt idx="0">
                  <c:v>NOx</c:v>
                </c:pt>
              </c:strCache>
            </c:strRef>
          </c:tx>
          <c:spPr>
            <a:solidFill>
              <a:schemeClr val="accent2"/>
            </a:solidFill>
            <a:ln>
              <a:noFill/>
            </a:ln>
            <a:effectLst>
              <a:outerShdw blurRad="40000" dist="23000" dir="5400000" rotWithShape="0">
                <a:srgbClr val="000000">
                  <a:alpha val="35000"/>
                </a:srgbClr>
              </a:outerShdw>
            </a:effectLst>
          </c:spPr>
          <c:invertIfNegative val="0"/>
          <c:cat>
            <c:strRef>
              <c:f>Calc!$G$142:$H$142</c:f>
              <c:strCache>
                <c:ptCount val="2"/>
                <c:pt idx="0">
                  <c:v>Current Home</c:v>
                </c:pt>
                <c:pt idx="1">
                  <c:v>Gas Home</c:v>
                </c:pt>
              </c:strCache>
            </c:strRef>
          </c:cat>
          <c:val>
            <c:numRef>
              <c:f>Calc!$G$143:$H$143</c:f>
              <c:numCache>
                <c:formatCode>#,##0</c:formatCode>
                <c:ptCount val="2"/>
                <c:pt idx="0">
                  <c:v>10.281449733364269</c:v>
                </c:pt>
                <c:pt idx="1">
                  <c:v>11.777151710377476</c:v>
                </c:pt>
              </c:numCache>
            </c:numRef>
          </c:val>
          <c:extLst>
            <c:ext xmlns:c16="http://schemas.microsoft.com/office/drawing/2014/chart" uri="{C3380CC4-5D6E-409C-BE32-E72D297353CC}">
              <c16:uniqueId val="{00000000-F59A-449C-8FE3-A9495C21C9EF}"/>
            </c:ext>
          </c:extLst>
        </c:ser>
        <c:ser>
          <c:idx val="1"/>
          <c:order val="1"/>
          <c:tx>
            <c:strRef>
              <c:f>Calc!$F$144</c:f>
              <c:strCache>
                <c:ptCount val="1"/>
                <c:pt idx="0">
                  <c:v>SOx</c:v>
                </c:pt>
              </c:strCache>
            </c:strRef>
          </c:tx>
          <c:spPr>
            <a:solidFill>
              <a:schemeClr val="accent3">
                <a:lumMod val="60000"/>
                <a:lumOff val="40000"/>
              </a:schemeClr>
            </a:solidFill>
            <a:ln>
              <a:noFill/>
            </a:ln>
            <a:effectLst>
              <a:outerShdw blurRad="40000" dist="23000" dir="5400000" rotWithShape="0">
                <a:srgbClr val="000000">
                  <a:alpha val="35000"/>
                </a:srgbClr>
              </a:outerShdw>
            </a:effectLst>
          </c:spPr>
          <c:invertIfNegative val="0"/>
          <c:cat>
            <c:strRef>
              <c:f>Calc!$G$142:$H$142</c:f>
              <c:strCache>
                <c:ptCount val="2"/>
                <c:pt idx="0">
                  <c:v>Current Home</c:v>
                </c:pt>
                <c:pt idx="1">
                  <c:v>Gas Home</c:v>
                </c:pt>
              </c:strCache>
            </c:strRef>
          </c:cat>
          <c:val>
            <c:numRef>
              <c:f>Calc!$G$144:$H$144</c:f>
              <c:numCache>
                <c:formatCode>#,##0</c:formatCode>
                <c:ptCount val="2"/>
                <c:pt idx="0">
                  <c:v>8.2106788715740002</c:v>
                </c:pt>
                <c:pt idx="1">
                  <c:v>5.6131173200386901E-2</c:v>
                </c:pt>
              </c:numCache>
            </c:numRef>
          </c:val>
          <c:extLst>
            <c:ext xmlns:c16="http://schemas.microsoft.com/office/drawing/2014/chart" uri="{C3380CC4-5D6E-409C-BE32-E72D297353CC}">
              <c16:uniqueId val="{00000001-F59A-449C-8FE3-A9495C21C9EF}"/>
            </c:ext>
          </c:extLst>
        </c:ser>
        <c:dLbls>
          <c:showLegendKey val="0"/>
          <c:showVal val="0"/>
          <c:showCatName val="0"/>
          <c:showSerName val="0"/>
          <c:showPercent val="0"/>
          <c:showBubbleSize val="0"/>
        </c:dLbls>
        <c:gapWidth val="100"/>
        <c:overlap val="-24"/>
        <c:axId val="599220608"/>
        <c:axId val="599223008"/>
      </c:barChart>
      <c:catAx>
        <c:axId val="599220608"/>
        <c:scaling>
          <c:orientation val="minMax"/>
        </c:scaling>
        <c:delete val="0"/>
        <c:axPos val="b"/>
        <c:numFmt formatCode="General" sourceLinked="1"/>
        <c:majorTickMark val="none"/>
        <c:minorTickMark val="none"/>
        <c:tickLblPos val="nextTo"/>
        <c:spPr>
          <a:noFill/>
          <a:ln w="9525" cap="flat" cmpd="sng" algn="ctr">
            <a:solidFill>
              <a:schemeClr val="tx2">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2"/>
                </a:solidFill>
                <a:latin typeface="+mn-lt"/>
                <a:ea typeface="+mn-ea"/>
                <a:cs typeface="+mn-cs"/>
              </a:defRPr>
            </a:pPr>
            <a:endParaRPr lang="en-US"/>
          </a:p>
        </c:txPr>
        <c:crossAx val="599223008"/>
        <c:crosses val="autoZero"/>
        <c:auto val="1"/>
        <c:lblAlgn val="ctr"/>
        <c:lblOffset val="100"/>
        <c:noMultiLvlLbl val="0"/>
      </c:catAx>
      <c:valAx>
        <c:axId val="599223008"/>
        <c:scaling>
          <c:orientation val="minMax"/>
        </c:scaling>
        <c:delete val="0"/>
        <c:axPos val="l"/>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2"/>
                </a:solidFill>
                <a:latin typeface="+mn-lt"/>
                <a:ea typeface="+mn-ea"/>
                <a:cs typeface="+mn-cs"/>
              </a:defRPr>
            </a:pPr>
            <a:endParaRPr lang="en-US"/>
          </a:p>
        </c:txPr>
        <c:crossAx val="599220608"/>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2"/>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2">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baseline="0">
                <a:solidFill>
                  <a:schemeClr val="tx2"/>
                </a:solidFill>
                <a:latin typeface="+mn-lt"/>
                <a:ea typeface="+mn-ea"/>
                <a:cs typeface="+mn-cs"/>
              </a:defRPr>
            </a:pPr>
            <a:r>
              <a:rPr lang="en-US"/>
              <a:t>CO2 Emissions</a:t>
            </a:r>
          </a:p>
        </c:rich>
      </c:tx>
      <c:overlay val="0"/>
      <c:spPr>
        <a:noFill/>
        <a:ln>
          <a:noFill/>
        </a:ln>
        <a:effectLst/>
      </c:spPr>
      <c:txPr>
        <a:bodyPr rot="0" spcFirstLastPara="1" vertOverflow="ellipsis" vert="horz" wrap="square" anchor="ctr" anchorCtr="1"/>
        <a:lstStyle/>
        <a:p>
          <a:pPr>
            <a:defRPr sz="1600" b="1" i="0" u="none" strike="noStrike" kern="1200" baseline="0">
              <a:solidFill>
                <a:schemeClr val="tx2"/>
              </a:solidFill>
              <a:latin typeface="+mn-lt"/>
              <a:ea typeface="+mn-ea"/>
              <a:cs typeface="+mn-cs"/>
            </a:defRPr>
          </a:pPr>
          <a:endParaRPr lang="en-US"/>
        </a:p>
      </c:txPr>
    </c:title>
    <c:autoTitleDeleted val="0"/>
    <c:plotArea>
      <c:layout/>
      <c:barChart>
        <c:barDir val="col"/>
        <c:grouping val="stacked"/>
        <c:varyColors val="0"/>
        <c:ser>
          <c:idx val="0"/>
          <c:order val="0"/>
          <c:tx>
            <c:strRef>
              <c:f>Calc!$F$150</c:f>
              <c:strCache>
                <c:ptCount val="1"/>
                <c:pt idx="0">
                  <c:v>Space Heating</c:v>
                </c:pt>
              </c:strCache>
            </c:strRef>
          </c:tx>
          <c:spPr>
            <a:solidFill>
              <a:schemeClr val="tx2"/>
            </a:solidFill>
            <a:ln>
              <a:noFill/>
            </a:ln>
            <a:effectLst>
              <a:outerShdw blurRad="40000" dist="23000" dir="5400000" rotWithShape="0">
                <a:srgbClr val="000000">
                  <a:alpha val="35000"/>
                </a:srgbClr>
              </a:outerShdw>
            </a:effectLst>
          </c:spPr>
          <c:invertIfNegative val="0"/>
          <c:cat>
            <c:strRef>
              <c:f>Calc!$G$149:$H$149</c:f>
              <c:strCache>
                <c:ptCount val="2"/>
                <c:pt idx="0">
                  <c:v>Current Home</c:v>
                </c:pt>
                <c:pt idx="1">
                  <c:v>Gas Home</c:v>
                </c:pt>
              </c:strCache>
            </c:strRef>
          </c:cat>
          <c:val>
            <c:numRef>
              <c:f>Calc!$G$150:$H$150</c:f>
              <c:numCache>
                <c:formatCode>_(* #,##0_);_(* \(#,##0\);_(* "-"??_);_(@_)</c:formatCode>
                <c:ptCount val="2"/>
                <c:pt idx="0">
                  <c:v>9896.64072606021</c:v>
                </c:pt>
                <c:pt idx="1">
                  <c:v>7299.7982481940098</c:v>
                </c:pt>
              </c:numCache>
            </c:numRef>
          </c:val>
          <c:extLst>
            <c:ext xmlns:c16="http://schemas.microsoft.com/office/drawing/2014/chart" uri="{C3380CC4-5D6E-409C-BE32-E72D297353CC}">
              <c16:uniqueId val="{00000000-DE77-4A8F-A7B6-17E0F8CF5495}"/>
            </c:ext>
          </c:extLst>
        </c:ser>
        <c:ser>
          <c:idx val="1"/>
          <c:order val="1"/>
          <c:tx>
            <c:strRef>
              <c:f>Calc!$F$151</c:f>
              <c:strCache>
                <c:ptCount val="1"/>
                <c:pt idx="0">
                  <c:v>Water Heating</c:v>
                </c:pt>
              </c:strCache>
            </c:strRef>
          </c:tx>
          <c:spPr>
            <a:solidFill>
              <a:schemeClr val="tx2">
                <a:lumMod val="40000"/>
                <a:lumOff val="60000"/>
              </a:schemeClr>
            </a:solidFill>
            <a:ln>
              <a:noFill/>
            </a:ln>
            <a:effectLst>
              <a:outerShdw blurRad="40000" dist="23000" dir="5400000" rotWithShape="0">
                <a:srgbClr val="000000">
                  <a:alpha val="35000"/>
                </a:srgbClr>
              </a:outerShdw>
            </a:effectLst>
          </c:spPr>
          <c:invertIfNegative val="0"/>
          <c:cat>
            <c:strRef>
              <c:f>Calc!$G$149:$H$149</c:f>
              <c:strCache>
                <c:ptCount val="2"/>
                <c:pt idx="0">
                  <c:v>Current Home</c:v>
                </c:pt>
                <c:pt idx="1">
                  <c:v>Gas Home</c:v>
                </c:pt>
              </c:strCache>
            </c:strRef>
          </c:cat>
          <c:val>
            <c:numRef>
              <c:f>Calc!$G$151:$H$151</c:f>
              <c:numCache>
                <c:formatCode>_(* #,##0_);_(* \(#,##0\);_(* "-"??_);_(@_)</c:formatCode>
                <c:ptCount val="2"/>
                <c:pt idx="0">
                  <c:v>6977.585612267646</c:v>
                </c:pt>
                <c:pt idx="1">
                  <c:v>3312.171399594321</c:v>
                </c:pt>
              </c:numCache>
            </c:numRef>
          </c:val>
          <c:extLst>
            <c:ext xmlns:c16="http://schemas.microsoft.com/office/drawing/2014/chart" uri="{C3380CC4-5D6E-409C-BE32-E72D297353CC}">
              <c16:uniqueId val="{00000001-DE77-4A8F-A7B6-17E0F8CF5495}"/>
            </c:ext>
          </c:extLst>
        </c:ser>
        <c:ser>
          <c:idx val="2"/>
          <c:order val="2"/>
          <c:tx>
            <c:strRef>
              <c:f>Calc!$F$152</c:f>
              <c:strCache>
                <c:ptCount val="1"/>
                <c:pt idx="0">
                  <c:v>Clothes Drying</c:v>
                </c:pt>
              </c:strCache>
            </c:strRef>
          </c:tx>
          <c:spPr>
            <a:solidFill>
              <a:schemeClr val="accent6">
                <a:lumMod val="60000"/>
                <a:lumOff val="40000"/>
              </a:schemeClr>
            </a:solidFill>
            <a:ln>
              <a:noFill/>
            </a:ln>
            <a:effectLst>
              <a:outerShdw blurRad="40000" dist="23000" dir="5400000" rotWithShape="0">
                <a:srgbClr val="000000">
                  <a:alpha val="35000"/>
                </a:srgbClr>
              </a:outerShdw>
            </a:effectLst>
          </c:spPr>
          <c:invertIfNegative val="0"/>
          <c:cat>
            <c:strRef>
              <c:f>Calc!$G$149:$H$149</c:f>
              <c:strCache>
                <c:ptCount val="2"/>
                <c:pt idx="0">
                  <c:v>Current Home</c:v>
                </c:pt>
                <c:pt idx="1">
                  <c:v>Gas Home</c:v>
                </c:pt>
              </c:strCache>
            </c:strRef>
          </c:cat>
          <c:val>
            <c:numRef>
              <c:f>Calc!$G$152:$H$152</c:f>
              <c:numCache>
                <c:formatCode>_(* #,##0_);_(* \(#,##0\);_(* "-"??_);_(@_)</c:formatCode>
                <c:ptCount val="2"/>
                <c:pt idx="0">
                  <c:v>1047.1884426904774</c:v>
                </c:pt>
                <c:pt idx="1">
                  <c:v>437.7944040537563</c:v>
                </c:pt>
              </c:numCache>
            </c:numRef>
          </c:val>
          <c:extLst>
            <c:ext xmlns:c16="http://schemas.microsoft.com/office/drawing/2014/chart" uri="{C3380CC4-5D6E-409C-BE32-E72D297353CC}">
              <c16:uniqueId val="{00000002-DE77-4A8F-A7B6-17E0F8CF5495}"/>
            </c:ext>
          </c:extLst>
        </c:ser>
        <c:ser>
          <c:idx val="3"/>
          <c:order val="3"/>
          <c:tx>
            <c:strRef>
              <c:f>Calc!$F$153</c:f>
              <c:strCache>
                <c:ptCount val="1"/>
                <c:pt idx="0">
                  <c:v>Cooking</c:v>
                </c:pt>
              </c:strCache>
            </c:strRef>
          </c:tx>
          <c:spPr>
            <a:solidFill>
              <a:schemeClr val="accent4"/>
            </a:solidFill>
            <a:ln>
              <a:noFill/>
            </a:ln>
            <a:effectLst>
              <a:outerShdw blurRad="40000" dist="23000" dir="5400000" rotWithShape="0">
                <a:srgbClr val="000000">
                  <a:alpha val="35000"/>
                </a:srgbClr>
              </a:outerShdw>
            </a:effectLst>
          </c:spPr>
          <c:invertIfNegative val="0"/>
          <c:cat>
            <c:strRef>
              <c:f>Calc!$G$149:$H$149</c:f>
              <c:strCache>
                <c:ptCount val="2"/>
                <c:pt idx="0">
                  <c:v>Current Home</c:v>
                </c:pt>
                <c:pt idx="1">
                  <c:v>Gas Home</c:v>
                </c:pt>
              </c:strCache>
            </c:strRef>
          </c:cat>
          <c:val>
            <c:numRef>
              <c:f>Calc!$G$153:$H$153</c:f>
              <c:numCache>
                <c:formatCode>_(* #,##0_);_(* \(#,##0\);_(* "-"??_);_(@_)</c:formatCode>
                <c:ptCount val="2"/>
                <c:pt idx="0">
                  <c:v>473.09797511344505</c:v>
                </c:pt>
                <c:pt idx="1">
                  <c:v>176</c:v>
                </c:pt>
              </c:numCache>
            </c:numRef>
          </c:val>
          <c:extLst>
            <c:ext xmlns:c16="http://schemas.microsoft.com/office/drawing/2014/chart" uri="{C3380CC4-5D6E-409C-BE32-E72D297353CC}">
              <c16:uniqueId val="{00000003-DE77-4A8F-A7B6-17E0F8CF5495}"/>
            </c:ext>
          </c:extLst>
        </c:ser>
        <c:dLbls>
          <c:showLegendKey val="0"/>
          <c:showVal val="0"/>
          <c:showCatName val="0"/>
          <c:showSerName val="0"/>
          <c:showPercent val="0"/>
          <c:showBubbleSize val="0"/>
        </c:dLbls>
        <c:gapWidth val="150"/>
        <c:overlap val="100"/>
        <c:axId val="1265091136"/>
        <c:axId val="1265079136"/>
      </c:barChart>
      <c:catAx>
        <c:axId val="1265091136"/>
        <c:scaling>
          <c:orientation val="minMax"/>
        </c:scaling>
        <c:delete val="0"/>
        <c:axPos val="b"/>
        <c:numFmt formatCode="General" sourceLinked="1"/>
        <c:majorTickMark val="none"/>
        <c:minorTickMark val="none"/>
        <c:tickLblPos val="nextTo"/>
        <c:spPr>
          <a:noFill/>
          <a:ln w="9525" cap="flat" cmpd="sng" algn="ctr">
            <a:solidFill>
              <a:schemeClr val="tx2">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2"/>
                </a:solidFill>
                <a:latin typeface="+mn-lt"/>
                <a:ea typeface="+mn-ea"/>
                <a:cs typeface="+mn-cs"/>
              </a:defRPr>
            </a:pPr>
            <a:endParaRPr lang="en-US"/>
          </a:p>
        </c:txPr>
        <c:crossAx val="1265079136"/>
        <c:crosses val="autoZero"/>
        <c:auto val="1"/>
        <c:lblAlgn val="ctr"/>
        <c:lblOffset val="100"/>
        <c:noMultiLvlLbl val="0"/>
      </c:catAx>
      <c:valAx>
        <c:axId val="1265079136"/>
        <c:scaling>
          <c:orientation val="minMax"/>
        </c:scaling>
        <c:delete val="0"/>
        <c:axPos val="l"/>
        <c:numFmt formatCode="_(* #,##0_);_(* \(#,##0\);_(* &quot;-&quot;??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2"/>
                </a:solidFill>
                <a:latin typeface="+mn-lt"/>
                <a:ea typeface="+mn-ea"/>
                <a:cs typeface="+mn-cs"/>
              </a:defRPr>
            </a:pPr>
            <a:endParaRPr lang="en-US"/>
          </a:p>
        </c:txPr>
        <c:crossAx val="1265091136"/>
        <c:crosses val="autoZero"/>
        <c:crossBetween val="between"/>
      </c:valAx>
      <c:spPr>
        <a:noFill/>
        <a:ln w="25400">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2"/>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2">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302">
  <cs:axisTitle>
    <cs:lnRef idx="0"/>
    <cs:fillRef idx="0"/>
    <cs:effectRef idx="0"/>
    <cs:fontRef idx="minor">
      <a:schemeClr val="tx2"/>
    </cs:fontRef>
    <cs:defRPr sz="900" b="1" kern="1200"/>
  </cs:axisTitle>
  <cs:categoryAxis>
    <cs:lnRef idx="0"/>
    <cs:fillRef idx="0"/>
    <cs:effectRef idx="0"/>
    <cs:fontRef idx="minor">
      <a:schemeClr val="tx2"/>
    </cs:fontRef>
    <cs:spPr>
      <a:ln w="9525" cap="flat" cmpd="sng" algn="ctr">
        <a:solidFill>
          <a:schemeClr val="tx2">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2">
            <a:lumMod val="15000"/>
            <a:lumOff val="85000"/>
          </a:schemeClr>
        </a:solidFill>
        <a:round/>
      </a:ln>
    </cs:spPr>
    <cs:defRPr sz="900" kern="1200"/>
  </cs:chartArea>
  <cs:dataLabel>
    <cs:lnRef idx="0"/>
    <cs:fillRef idx="0"/>
    <cs:effectRef idx="0"/>
    <cs:fontRef idx="minor">
      <a:schemeClr val="tx2"/>
    </cs:fontRef>
    <cs:defRPr sz="900" kern="1200"/>
  </cs:dataLabel>
  <cs:dataLabelCallout>
    <cs:lnRef idx="0"/>
    <cs:fillRef idx="0"/>
    <cs:effectRef idx="0"/>
    <cs:fontRef idx="minor">
      <a:schemeClr val="dk2">
        <a:lumMod val="7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2"/>
    <cs:fontRef idx="minor">
      <a:schemeClr val="tx2"/>
    </cs:fontRef>
  </cs:dataPoint>
  <cs:dataPoint3D>
    <cs:lnRef idx="0"/>
    <cs:fillRef idx="3">
      <cs:styleClr val="auto"/>
    </cs:fillRef>
    <cs:effectRef idx="2"/>
    <cs:fontRef idx="minor">
      <a:schemeClr val="tx2"/>
    </cs:fontRef>
  </cs:dataPoint3D>
  <cs:dataPointLine>
    <cs:lnRef idx="0">
      <cs:styleClr val="auto"/>
    </cs:lnRef>
    <cs:fillRef idx="3"/>
    <cs:effectRef idx="2"/>
    <cs:fontRef idx="minor">
      <a:schemeClr val="tx2"/>
    </cs:fontRef>
    <cs:spPr>
      <a:ln w="31750" cap="rnd">
        <a:solidFill>
          <a:schemeClr val="phClr"/>
        </a:solidFill>
        <a:round/>
      </a:ln>
    </cs:spPr>
  </cs:dataPointLine>
  <cs:dataPointMarker>
    <cs:lnRef idx="0"/>
    <cs:fillRef idx="3">
      <cs:styleClr val="auto"/>
    </cs:fillRef>
    <cs:effectRef idx="2"/>
    <cs:fontRef idx="minor">
      <a:schemeClr val="tx2"/>
    </cs:fontRef>
    <cs:spPr>
      <a:ln w="12700">
        <a:solidFill>
          <a:schemeClr val="lt2"/>
        </a:solidFill>
        <a:round/>
      </a:ln>
    </cs:spPr>
  </cs:dataPointMarker>
  <cs:dataPointMarkerLayout symbol="circle" size="6"/>
  <cs:dataPointWireframe>
    <cs:lnRef idx="0">
      <cs:styleClr val="auto"/>
    </cs:lnRef>
    <cs:fillRef idx="3"/>
    <cs:effectRef idx="2"/>
    <cs:fontRef idx="minor">
      <a:schemeClr val="tx2"/>
    </cs:fontRef>
    <cs:spPr>
      <a:ln w="9525" cap="rnd">
        <a:solidFill>
          <a:schemeClr val="phClr"/>
        </a:solidFill>
        <a:round/>
      </a:ln>
    </cs:spPr>
  </cs:dataPointWireframe>
  <cs:dataTable>
    <cs:lnRef idx="0"/>
    <cs:fillRef idx="0"/>
    <cs:effectRef idx="0"/>
    <cs:fontRef idx="minor">
      <a:schemeClr val="tx2"/>
    </cs:fontRef>
    <cs:spPr>
      <a:ln w="9525">
        <a:solidFill>
          <a:schemeClr val="tx2">
            <a:lumMod val="15000"/>
            <a:lumOff val="85000"/>
          </a:schemeClr>
        </a:solidFill>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2"/>
    </cs:fontRef>
    <cs:spPr>
      <a:ln w="9525">
        <a:solidFill>
          <a:schemeClr val="tx2">
            <a:lumMod val="60000"/>
            <a:lumOff val="40000"/>
          </a:schemeClr>
        </a:solidFill>
        <a:prstDash val="dash"/>
      </a:ln>
    </cs:spPr>
  </cs:dropLine>
  <cs:errorBar>
    <cs:lnRef idx="0"/>
    <cs:fillRef idx="0"/>
    <cs:effectRef idx="0"/>
    <cs:fontRef idx="minor">
      <a:schemeClr val="tx2"/>
    </cs:fontRef>
    <cs:spPr>
      <a:ln w="9525">
        <a:solidFill>
          <a:schemeClr val="tx2">
            <a:lumMod val="75000"/>
          </a:schemeClr>
        </a:solidFill>
        <a:round/>
      </a:ln>
    </cs:spPr>
  </cs:errorBar>
  <cs:floor>
    <cs:lnRef idx="0"/>
    <cs:fillRef idx="0"/>
    <cs:effectRef idx="0"/>
    <cs:fontRef idx="minor">
      <a:schemeClr val="tx2"/>
    </cs:fontRef>
  </cs:floor>
  <cs:gridlineMajor>
    <cs:lnRef idx="0"/>
    <cs:fillRef idx="0"/>
    <cs:effectRef idx="0"/>
    <cs:fontRef idx="minor">
      <a:schemeClr val="tx2"/>
    </cs:fontRef>
    <cs:spPr>
      <a:ln w="9525" cap="flat" cmpd="sng" algn="ctr">
        <a:solidFill>
          <a:schemeClr val="tx2">
            <a:lumMod val="15000"/>
            <a:lumOff val="85000"/>
          </a:schemeClr>
        </a:solidFill>
        <a:round/>
      </a:ln>
    </cs:spPr>
  </cs:gridlineMajor>
  <cs:gridlineMinor>
    <cs:lnRef idx="0"/>
    <cs:fillRef idx="0"/>
    <cs:effectRef idx="0"/>
    <cs:fontRef idx="minor">
      <a:schemeClr val="tx2"/>
    </cs:fontRef>
    <cs:spPr>
      <a:ln>
        <a:solidFill>
          <a:schemeClr val="tx2">
            <a:lumMod val="5000"/>
            <a:lumOff val="95000"/>
          </a:schemeClr>
        </a:solidFill>
      </a:ln>
    </cs:spPr>
  </cs:gridlineMinor>
  <cs:hiLoLine>
    <cs:lnRef idx="0"/>
    <cs:fillRef idx="0"/>
    <cs:effectRef idx="0"/>
    <cs:fontRef idx="minor">
      <a:schemeClr val="tx2"/>
    </cs:fontRef>
    <cs:spPr>
      <a:ln w="9525">
        <a:solidFill>
          <a:schemeClr val="tx2">
            <a:lumMod val="60000"/>
            <a:lumOff val="40000"/>
          </a:schemeClr>
        </a:solidFill>
        <a:prstDash val="dash"/>
      </a:ln>
    </cs:spPr>
  </cs:hiLoLine>
  <cs:leaderLine>
    <cs:lnRef idx="0"/>
    <cs:fillRef idx="0"/>
    <cs:effectRef idx="0"/>
    <cs:fontRef idx="minor">
      <a:schemeClr val="tx2"/>
    </cs:fontRef>
    <cs:spPr>
      <a:ln w="9525">
        <a:solidFill>
          <a:schemeClr val="tx2">
            <a:lumMod val="35000"/>
            <a:lumOff val="65000"/>
          </a:schemeClr>
        </a:solidFill>
      </a:ln>
    </cs:spPr>
  </cs:leaderLine>
  <cs:legend>
    <cs:lnRef idx="0"/>
    <cs:fillRef idx="0"/>
    <cs:effectRef idx="0"/>
    <cs:fontRef idx="minor">
      <a:schemeClr val="tx2"/>
    </cs:fontRef>
    <cs:defRPr sz="900" kern="1200"/>
  </cs:legend>
  <cs:plotArea>
    <cs:lnRef idx="0"/>
    <cs:fillRef idx="0"/>
    <cs:effectRef idx="0"/>
    <cs:fontRef idx="minor">
      <a:schemeClr val="tx2"/>
    </cs:fontRef>
  </cs:plotArea>
  <cs:plotArea3D>
    <cs:lnRef idx="0"/>
    <cs:fillRef idx="0"/>
    <cs:effectRef idx="0"/>
    <cs:fontRef idx="minor">
      <a:schemeClr val="tx2"/>
    </cs:fontRef>
  </cs:plotArea3D>
  <cs:seriesAxis>
    <cs:lnRef idx="0"/>
    <cs:fillRef idx="0"/>
    <cs:effectRef idx="0"/>
    <cs:fontRef idx="minor">
      <a:schemeClr val="tx2"/>
    </cs:fontRef>
    <cs:spPr>
      <a:ln w="9525" cap="flat" cmpd="sng" algn="ctr">
        <a:solidFill>
          <a:schemeClr val="tx2">
            <a:lumMod val="15000"/>
            <a:lumOff val="85000"/>
          </a:schemeClr>
        </a:solidFill>
        <a:round/>
      </a:ln>
    </cs:spPr>
    <cs:defRPr sz="900" kern="1200"/>
  </cs:seriesAxis>
  <cs:seriesLine>
    <cs:lnRef idx="0"/>
    <cs:fillRef idx="0"/>
    <cs:effectRef idx="0"/>
    <cs:fontRef idx="minor">
      <a:schemeClr val="tx2"/>
    </cs:fontRef>
    <cs:spPr>
      <a:ln w="9525">
        <a:solidFill>
          <a:schemeClr val="tx2">
            <a:lumMod val="60000"/>
            <a:lumOff val="40000"/>
          </a:schemeClr>
        </a:solidFill>
        <a:prstDash val="dash"/>
      </a:ln>
    </cs:spPr>
  </cs:seriesLine>
  <cs:title>
    <cs:lnRef idx="0"/>
    <cs:fillRef idx="0"/>
    <cs:effectRef idx="0"/>
    <cs:fontRef idx="minor">
      <a:schemeClr val="tx2"/>
    </cs:fontRef>
    <cs:defRPr sz="1600" b="1" kern="1200"/>
  </cs:title>
  <cs:trendline>
    <cs:lnRef idx="0">
      <cs:styleClr val="auto"/>
    </cs:lnRef>
    <cs:fillRef idx="0"/>
    <cs:effectRef idx="0"/>
    <cs:fontRef idx="minor">
      <a:schemeClr val="tx2"/>
    </cs:fontRef>
    <cs:spPr>
      <a:ln w="19050" cap="rnd">
        <a:solidFill>
          <a:schemeClr val="phClr"/>
        </a:solidFill>
        <a:prstDash val="sysDash"/>
      </a:ln>
    </cs:spPr>
  </cs:trendline>
  <cs:trendlineLabel>
    <cs:lnRef idx="0"/>
    <cs:fillRef idx="0"/>
    <cs:effectRef idx="0"/>
    <cs:fontRef idx="minor">
      <a:schemeClr val="tx2"/>
    </cs:fontRef>
    <cs:defRPr sz="900" kern="1200"/>
  </cs:trendlineLabel>
  <cs:upBar>
    <cs:lnRef idx="0"/>
    <cs:fillRef idx="0"/>
    <cs:effectRef idx="0"/>
    <cs:fontRef idx="minor">
      <a:schemeClr val="tx2"/>
    </cs:fontRef>
    <cs:spPr>
      <a:solidFill>
        <a:schemeClr val="lt1"/>
      </a:solidFill>
      <a:ln w="9525">
        <a:solidFill>
          <a:schemeClr val="tx1">
            <a:lumMod val="15000"/>
            <a:lumOff val="85000"/>
          </a:schemeClr>
        </a:solidFill>
      </a:ln>
    </cs:spPr>
  </cs:upBar>
  <cs:valueAxis>
    <cs:lnRef idx="0"/>
    <cs:fillRef idx="0"/>
    <cs:effectRef idx="0"/>
    <cs:fontRef idx="minor">
      <a:schemeClr val="tx2"/>
    </cs:fontRef>
    <cs:defRPr sz="900" kern="1200"/>
  </cs:valueAxis>
  <cs:wall>
    <cs:lnRef idx="0"/>
    <cs:fillRef idx="0"/>
    <cs:effectRef idx="0"/>
    <cs:fontRef idx="minor">
      <a:schemeClr val="tx2"/>
    </cs:fontRef>
  </cs:wall>
</cs:chartStyle>
</file>

<file path=xl/charts/style2.xml><?xml version="1.0" encoding="utf-8"?>
<cs:chartStyle xmlns:cs="http://schemas.microsoft.com/office/drawing/2012/chartStyle" xmlns:a="http://schemas.openxmlformats.org/drawingml/2006/main" id="207">
  <cs:axisTitle>
    <cs:lnRef idx="0"/>
    <cs:fillRef idx="0"/>
    <cs:effectRef idx="0"/>
    <cs:fontRef idx="minor">
      <a:schemeClr val="tx2"/>
    </cs:fontRef>
    <cs:defRPr sz="900" b="1" kern="1200"/>
  </cs:axisTitle>
  <cs:categoryAxis>
    <cs:lnRef idx="0"/>
    <cs:fillRef idx="0"/>
    <cs:effectRef idx="0"/>
    <cs:fontRef idx="minor">
      <a:schemeClr val="tx2"/>
    </cs:fontRef>
    <cs:spPr>
      <a:ln w="9525" cap="flat" cmpd="sng" algn="ctr">
        <a:solidFill>
          <a:schemeClr val="tx2">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2">
            <a:lumMod val="15000"/>
            <a:lumOff val="85000"/>
          </a:schemeClr>
        </a:solidFill>
        <a:round/>
      </a:ln>
    </cs:spPr>
    <cs:defRPr sz="900" kern="1200"/>
  </cs:chartArea>
  <cs:dataLabel>
    <cs:lnRef idx="0"/>
    <cs:fillRef idx="0"/>
    <cs:effectRef idx="0"/>
    <cs:fontRef idx="minor">
      <a:schemeClr val="tx2"/>
    </cs:fontRef>
    <cs:defRPr sz="900" kern="1200"/>
  </cs:dataLabel>
  <cs:dataLabelCallout>
    <cs:lnRef idx="0"/>
    <cs:fillRef idx="0"/>
    <cs:effectRef idx="0"/>
    <cs:fontRef idx="minor">
      <a:schemeClr val="dk2">
        <a:lumMod val="7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2"/>
    <cs:fontRef idx="minor">
      <a:schemeClr val="tx2"/>
    </cs:fontRef>
  </cs:dataPoint>
  <cs:dataPoint3D>
    <cs:lnRef idx="0"/>
    <cs:fillRef idx="3">
      <cs:styleClr val="auto"/>
    </cs:fillRef>
    <cs:effectRef idx="2"/>
    <cs:fontRef idx="minor">
      <a:schemeClr val="tx2"/>
    </cs:fontRef>
  </cs:dataPoint3D>
  <cs:dataPointLine>
    <cs:lnRef idx="0">
      <cs:styleClr val="auto"/>
    </cs:lnRef>
    <cs:fillRef idx="3"/>
    <cs:effectRef idx="2"/>
    <cs:fontRef idx="minor">
      <a:schemeClr val="tx2"/>
    </cs:fontRef>
    <cs:spPr>
      <a:ln w="31750" cap="rnd">
        <a:solidFill>
          <a:schemeClr val="phClr"/>
        </a:solidFill>
        <a:round/>
      </a:ln>
    </cs:spPr>
  </cs:dataPointLine>
  <cs:dataPointMarker>
    <cs:lnRef idx="0"/>
    <cs:fillRef idx="3">
      <cs:styleClr val="auto"/>
    </cs:fillRef>
    <cs:effectRef idx="2"/>
    <cs:fontRef idx="minor">
      <a:schemeClr val="tx2"/>
    </cs:fontRef>
    <cs:spPr>
      <a:ln w="12700">
        <a:solidFill>
          <a:schemeClr val="lt2"/>
        </a:solidFill>
        <a:round/>
      </a:ln>
    </cs:spPr>
  </cs:dataPointMarker>
  <cs:dataPointMarkerLayout symbol="circle" size="6"/>
  <cs:dataPointWireframe>
    <cs:lnRef idx="0">
      <cs:styleClr val="auto"/>
    </cs:lnRef>
    <cs:fillRef idx="3"/>
    <cs:effectRef idx="2"/>
    <cs:fontRef idx="minor">
      <a:schemeClr val="tx2"/>
    </cs:fontRef>
    <cs:spPr>
      <a:ln w="9525" cap="rnd">
        <a:solidFill>
          <a:schemeClr val="phClr"/>
        </a:solidFill>
        <a:round/>
      </a:ln>
    </cs:spPr>
  </cs:dataPointWireframe>
  <cs:dataTable>
    <cs:lnRef idx="0"/>
    <cs:fillRef idx="0"/>
    <cs:effectRef idx="0"/>
    <cs:fontRef idx="minor">
      <a:schemeClr val="tx2"/>
    </cs:fontRef>
    <cs:spPr>
      <a:ln w="9525">
        <a:solidFill>
          <a:schemeClr val="tx2">
            <a:lumMod val="15000"/>
            <a:lumOff val="85000"/>
          </a:schemeClr>
        </a:solidFill>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2"/>
    </cs:fontRef>
    <cs:spPr>
      <a:ln w="9525">
        <a:solidFill>
          <a:schemeClr val="tx2">
            <a:lumMod val="60000"/>
            <a:lumOff val="40000"/>
          </a:schemeClr>
        </a:solidFill>
        <a:prstDash val="dash"/>
      </a:ln>
    </cs:spPr>
  </cs:dropLine>
  <cs:errorBar>
    <cs:lnRef idx="0"/>
    <cs:fillRef idx="0"/>
    <cs:effectRef idx="0"/>
    <cs:fontRef idx="minor">
      <a:schemeClr val="tx2"/>
    </cs:fontRef>
    <cs:spPr>
      <a:ln w="9525">
        <a:solidFill>
          <a:schemeClr val="tx2">
            <a:lumMod val="75000"/>
            <a:lumOff val="25000"/>
          </a:schemeClr>
        </a:solidFill>
        <a:round/>
      </a:ln>
    </cs:spPr>
  </cs:errorBar>
  <cs:floor>
    <cs:lnRef idx="0"/>
    <cs:fillRef idx="0"/>
    <cs:effectRef idx="0"/>
    <cs:fontRef idx="minor">
      <a:schemeClr val="tx2"/>
    </cs:fontRef>
  </cs:floor>
  <cs:gridlineMajor>
    <cs:lnRef idx="0"/>
    <cs:fillRef idx="0"/>
    <cs:effectRef idx="0"/>
    <cs:fontRef idx="minor">
      <a:schemeClr val="tx2"/>
    </cs:fontRef>
    <cs:spPr>
      <a:ln w="9525" cap="flat" cmpd="sng" algn="ctr">
        <a:solidFill>
          <a:schemeClr val="tx2">
            <a:lumMod val="15000"/>
            <a:lumOff val="85000"/>
          </a:schemeClr>
        </a:solidFill>
        <a:round/>
      </a:ln>
    </cs:spPr>
  </cs:gridlineMajor>
  <cs:gridlineMinor>
    <cs:lnRef idx="0"/>
    <cs:fillRef idx="0"/>
    <cs:effectRef idx="0"/>
    <cs:fontRef idx="minor">
      <a:schemeClr val="tx2"/>
    </cs:fontRef>
    <cs:spPr>
      <a:ln>
        <a:solidFill>
          <a:schemeClr val="tx2">
            <a:lumMod val="5000"/>
            <a:lumOff val="95000"/>
          </a:schemeClr>
        </a:solidFill>
      </a:ln>
    </cs:spPr>
  </cs:gridlineMinor>
  <cs:hiLoLine>
    <cs:lnRef idx="0"/>
    <cs:fillRef idx="0"/>
    <cs:effectRef idx="0"/>
    <cs:fontRef idx="minor">
      <a:schemeClr val="tx2"/>
    </cs:fontRef>
    <cs:spPr>
      <a:ln w="9525">
        <a:solidFill>
          <a:schemeClr val="tx2">
            <a:lumMod val="60000"/>
            <a:lumOff val="40000"/>
          </a:schemeClr>
        </a:solidFill>
        <a:prstDash val="dash"/>
      </a:ln>
    </cs:spPr>
  </cs:hiLoLine>
  <cs:leaderLine>
    <cs:lnRef idx="0"/>
    <cs:fillRef idx="0"/>
    <cs:effectRef idx="0"/>
    <cs:fontRef idx="minor">
      <a:schemeClr val="tx2"/>
    </cs:fontRef>
    <cs:spPr>
      <a:ln w="9525">
        <a:solidFill>
          <a:schemeClr val="tx2">
            <a:lumMod val="35000"/>
            <a:lumOff val="65000"/>
          </a:schemeClr>
        </a:solidFill>
      </a:ln>
    </cs:spPr>
  </cs:leaderLine>
  <cs:legend>
    <cs:lnRef idx="0"/>
    <cs:fillRef idx="0"/>
    <cs:effectRef idx="0"/>
    <cs:fontRef idx="minor">
      <a:schemeClr val="tx2"/>
    </cs:fontRef>
    <cs:defRPr sz="900" kern="1200"/>
  </cs:legend>
  <cs:plotArea>
    <cs:lnRef idx="0"/>
    <cs:fillRef idx="0"/>
    <cs:effectRef idx="0"/>
    <cs:fontRef idx="minor">
      <a:schemeClr val="tx2"/>
    </cs:fontRef>
  </cs:plotArea>
  <cs:plotArea3D>
    <cs:lnRef idx="0"/>
    <cs:fillRef idx="0"/>
    <cs:effectRef idx="0"/>
    <cs:fontRef idx="minor">
      <a:schemeClr val="tx2"/>
    </cs:fontRef>
  </cs:plotArea3D>
  <cs:seriesAxis>
    <cs:lnRef idx="0"/>
    <cs:fillRef idx="0"/>
    <cs:effectRef idx="0"/>
    <cs:fontRef idx="minor">
      <a:schemeClr val="tx2"/>
    </cs:fontRef>
    <cs:spPr>
      <a:ln w="9525" cap="flat" cmpd="sng" algn="ctr">
        <a:solidFill>
          <a:schemeClr val="tx2">
            <a:lumMod val="15000"/>
            <a:lumOff val="85000"/>
          </a:schemeClr>
        </a:solidFill>
        <a:round/>
      </a:ln>
    </cs:spPr>
    <cs:defRPr sz="900" kern="1200"/>
  </cs:seriesAxis>
  <cs:seriesLine>
    <cs:lnRef idx="0"/>
    <cs:fillRef idx="0"/>
    <cs:effectRef idx="0"/>
    <cs:fontRef idx="minor">
      <a:schemeClr val="tx2"/>
    </cs:fontRef>
    <cs:spPr>
      <a:ln w="9525">
        <a:solidFill>
          <a:schemeClr val="tx2">
            <a:lumMod val="60000"/>
            <a:lumOff val="40000"/>
          </a:schemeClr>
        </a:solidFill>
        <a:prstDash val="dash"/>
      </a:ln>
    </cs:spPr>
  </cs:seriesLine>
  <cs:title>
    <cs:lnRef idx="0"/>
    <cs:fillRef idx="0"/>
    <cs:effectRef idx="0"/>
    <cs:fontRef idx="minor">
      <a:schemeClr val="tx2"/>
    </cs:fontRef>
    <cs:defRPr sz="1600" b="1" kern="1200"/>
  </cs:title>
  <cs:trendline>
    <cs:lnRef idx="0">
      <cs:styleClr val="auto"/>
    </cs:lnRef>
    <cs:fillRef idx="0"/>
    <cs:effectRef idx="0"/>
    <cs:fontRef idx="minor">
      <a:schemeClr val="tx2"/>
    </cs:fontRef>
    <cs:spPr>
      <a:ln w="19050" cap="rnd">
        <a:solidFill>
          <a:schemeClr val="phClr"/>
        </a:solidFill>
        <a:prstDash val="sysDash"/>
      </a:ln>
    </cs:spPr>
  </cs:trendline>
  <cs:trendlineLabel>
    <cs:lnRef idx="0"/>
    <cs:fillRef idx="0"/>
    <cs:effectRef idx="0"/>
    <cs:fontRef idx="minor">
      <a:schemeClr val="tx2"/>
    </cs:fontRef>
    <cs:defRPr sz="900" kern="1200"/>
  </cs:trendlineLabel>
  <cs:upBar>
    <cs:lnRef idx="0"/>
    <cs:fillRef idx="0"/>
    <cs:effectRef idx="0"/>
    <cs:fontRef idx="minor">
      <a:schemeClr val="tx2"/>
    </cs:fontRef>
    <cs:spPr>
      <a:solidFill>
        <a:schemeClr val="lt1"/>
      </a:solidFill>
      <a:ln w="9525">
        <a:solidFill>
          <a:schemeClr val="tx1">
            <a:lumMod val="15000"/>
            <a:lumOff val="85000"/>
          </a:schemeClr>
        </a:solidFill>
      </a:ln>
    </cs:spPr>
  </cs:upBar>
  <cs:valueAxis>
    <cs:lnRef idx="0"/>
    <cs:fillRef idx="0"/>
    <cs:effectRef idx="0"/>
    <cs:fontRef idx="minor">
      <a:schemeClr val="tx2"/>
    </cs:fontRef>
    <cs:defRPr sz="900" kern="1200"/>
  </cs:valueAxis>
  <cs:wall>
    <cs:lnRef idx="0"/>
    <cs:fillRef idx="0"/>
    <cs:effectRef idx="0"/>
    <cs:fontRef idx="minor">
      <a:schemeClr val="tx2"/>
    </cs:fontRef>
  </cs:wall>
</cs:chartStyle>
</file>

<file path=xl/charts/style3.xml><?xml version="1.0" encoding="utf-8"?>
<cs:chartStyle xmlns:cs="http://schemas.microsoft.com/office/drawing/2012/chartStyle" xmlns:a="http://schemas.openxmlformats.org/drawingml/2006/main" id="302">
  <cs:axisTitle>
    <cs:lnRef idx="0"/>
    <cs:fillRef idx="0"/>
    <cs:effectRef idx="0"/>
    <cs:fontRef idx="minor">
      <a:schemeClr val="tx2"/>
    </cs:fontRef>
    <cs:defRPr sz="900" b="1" kern="1200"/>
  </cs:axisTitle>
  <cs:categoryAxis>
    <cs:lnRef idx="0"/>
    <cs:fillRef idx="0"/>
    <cs:effectRef idx="0"/>
    <cs:fontRef idx="minor">
      <a:schemeClr val="tx2"/>
    </cs:fontRef>
    <cs:spPr>
      <a:ln w="9525" cap="flat" cmpd="sng" algn="ctr">
        <a:solidFill>
          <a:schemeClr val="tx2">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2">
            <a:lumMod val="15000"/>
            <a:lumOff val="85000"/>
          </a:schemeClr>
        </a:solidFill>
        <a:round/>
      </a:ln>
    </cs:spPr>
    <cs:defRPr sz="900" kern="1200"/>
  </cs:chartArea>
  <cs:dataLabel>
    <cs:lnRef idx="0"/>
    <cs:fillRef idx="0"/>
    <cs:effectRef idx="0"/>
    <cs:fontRef idx="minor">
      <a:schemeClr val="tx2"/>
    </cs:fontRef>
    <cs:defRPr sz="900" kern="1200"/>
  </cs:dataLabel>
  <cs:dataLabelCallout>
    <cs:lnRef idx="0"/>
    <cs:fillRef idx="0"/>
    <cs:effectRef idx="0"/>
    <cs:fontRef idx="minor">
      <a:schemeClr val="dk2">
        <a:lumMod val="7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2"/>
    <cs:fontRef idx="minor">
      <a:schemeClr val="tx2"/>
    </cs:fontRef>
  </cs:dataPoint>
  <cs:dataPoint3D>
    <cs:lnRef idx="0"/>
    <cs:fillRef idx="3">
      <cs:styleClr val="auto"/>
    </cs:fillRef>
    <cs:effectRef idx="2"/>
    <cs:fontRef idx="minor">
      <a:schemeClr val="tx2"/>
    </cs:fontRef>
  </cs:dataPoint3D>
  <cs:dataPointLine>
    <cs:lnRef idx="0">
      <cs:styleClr val="auto"/>
    </cs:lnRef>
    <cs:fillRef idx="3"/>
    <cs:effectRef idx="2"/>
    <cs:fontRef idx="minor">
      <a:schemeClr val="tx2"/>
    </cs:fontRef>
    <cs:spPr>
      <a:ln w="31750" cap="rnd">
        <a:solidFill>
          <a:schemeClr val="phClr"/>
        </a:solidFill>
        <a:round/>
      </a:ln>
    </cs:spPr>
  </cs:dataPointLine>
  <cs:dataPointMarker>
    <cs:lnRef idx="0"/>
    <cs:fillRef idx="3">
      <cs:styleClr val="auto"/>
    </cs:fillRef>
    <cs:effectRef idx="2"/>
    <cs:fontRef idx="minor">
      <a:schemeClr val="tx2"/>
    </cs:fontRef>
    <cs:spPr>
      <a:ln w="12700">
        <a:solidFill>
          <a:schemeClr val="lt2"/>
        </a:solidFill>
        <a:round/>
      </a:ln>
    </cs:spPr>
  </cs:dataPointMarker>
  <cs:dataPointMarkerLayout symbol="circle" size="6"/>
  <cs:dataPointWireframe>
    <cs:lnRef idx="0">
      <cs:styleClr val="auto"/>
    </cs:lnRef>
    <cs:fillRef idx="3"/>
    <cs:effectRef idx="2"/>
    <cs:fontRef idx="minor">
      <a:schemeClr val="tx2"/>
    </cs:fontRef>
    <cs:spPr>
      <a:ln w="9525" cap="rnd">
        <a:solidFill>
          <a:schemeClr val="phClr"/>
        </a:solidFill>
        <a:round/>
      </a:ln>
    </cs:spPr>
  </cs:dataPointWireframe>
  <cs:dataTable>
    <cs:lnRef idx="0"/>
    <cs:fillRef idx="0"/>
    <cs:effectRef idx="0"/>
    <cs:fontRef idx="minor">
      <a:schemeClr val="tx2"/>
    </cs:fontRef>
    <cs:spPr>
      <a:ln w="9525">
        <a:solidFill>
          <a:schemeClr val="tx2">
            <a:lumMod val="15000"/>
            <a:lumOff val="85000"/>
          </a:schemeClr>
        </a:solidFill>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2"/>
    </cs:fontRef>
    <cs:spPr>
      <a:ln w="9525">
        <a:solidFill>
          <a:schemeClr val="tx2">
            <a:lumMod val="60000"/>
            <a:lumOff val="40000"/>
          </a:schemeClr>
        </a:solidFill>
        <a:prstDash val="dash"/>
      </a:ln>
    </cs:spPr>
  </cs:dropLine>
  <cs:errorBar>
    <cs:lnRef idx="0"/>
    <cs:fillRef idx="0"/>
    <cs:effectRef idx="0"/>
    <cs:fontRef idx="minor">
      <a:schemeClr val="tx2"/>
    </cs:fontRef>
    <cs:spPr>
      <a:ln w="9525">
        <a:solidFill>
          <a:schemeClr val="tx2">
            <a:lumMod val="75000"/>
          </a:schemeClr>
        </a:solidFill>
        <a:round/>
      </a:ln>
    </cs:spPr>
  </cs:errorBar>
  <cs:floor>
    <cs:lnRef idx="0"/>
    <cs:fillRef idx="0"/>
    <cs:effectRef idx="0"/>
    <cs:fontRef idx="minor">
      <a:schemeClr val="tx2"/>
    </cs:fontRef>
  </cs:floor>
  <cs:gridlineMajor>
    <cs:lnRef idx="0"/>
    <cs:fillRef idx="0"/>
    <cs:effectRef idx="0"/>
    <cs:fontRef idx="minor">
      <a:schemeClr val="tx2"/>
    </cs:fontRef>
    <cs:spPr>
      <a:ln w="9525" cap="flat" cmpd="sng" algn="ctr">
        <a:solidFill>
          <a:schemeClr val="tx2">
            <a:lumMod val="15000"/>
            <a:lumOff val="85000"/>
          </a:schemeClr>
        </a:solidFill>
        <a:round/>
      </a:ln>
    </cs:spPr>
  </cs:gridlineMajor>
  <cs:gridlineMinor>
    <cs:lnRef idx="0"/>
    <cs:fillRef idx="0"/>
    <cs:effectRef idx="0"/>
    <cs:fontRef idx="minor">
      <a:schemeClr val="tx2"/>
    </cs:fontRef>
    <cs:spPr>
      <a:ln>
        <a:solidFill>
          <a:schemeClr val="tx2">
            <a:lumMod val="5000"/>
            <a:lumOff val="95000"/>
          </a:schemeClr>
        </a:solidFill>
      </a:ln>
    </cs:spPr>
  </cs:gridlineMinor>
  <cs:hiLoLine>
    <cs:lnRef idx="0"/>
    <cs:fillRef idx="0"/>
    <cs:effectRef idx="0"/>
    <cs:fontRef idx="minor">
      <a:schemeClr val="tx2"/>
    </cs:fontRef>
    <cs:spPr>
      <a:ln w="9525">
        <a:solidFill>
          <a:schemeClr val="tx2">
            <a:lumMod val="60000"/>
            <a:lumOff val="40000"/>
          </a:schemeClr>
        </a:solidFill>
        <a:prstDash val="dash"/>
      </a:ln>
    </cs:spPr>
  </cs:hiLoLine>
  <cs:leaderLine>
    <cs:lnRef idx="0"/>
    <cs:fillRef idx="0"/>
    <cs:effectRef idx="0"/>
    <cs:fontRef idx="minor">
      <a:schemeClr val="tx2"/>
    </cs:fontRef>
    <cs:spPr>
      <a:ln w="9525">
        <a:solidFill>
          <a:schemeClr val="tx2">
            <a:lumMod val="35000"/>
            <a:lumOff val="65000"/>
          </a:schemeClr>
        </a:solidFill>
      </a:ln>
    </cs:spPr>
  </cs:leaderLine>
  <cs:legend>
    <cs:lnRef idx="0"/>
    <cs:fillRef idx="0"/>
    <cs:effectRef idx="0"/>
    <cs:fontRef idx="minor">
      <a:schemeClr val="tx2"/>
    </cs:fontRef>
    <cs:defRPr sz="900" kern="1200"/>
  </cs:legend>
  <cs:plotArea>
    <cs:lnRef idx="0"/>
    <cs:fillRef idx="0"/>
    <cs:effectRef idx="0"/>
    <cs:fontRef idx="minor">
      <a:schemeClr val="tx2"/>
    </cs:fontRef>
  </cs:plotArea>
  <cs:plotArea3D>
    <cs:lnRef idx="0"/>
    <cs:fillRef idx="0"/>
    <cs:effectRef idx="0"/>
    <cs:fontRef idx="minor">
      <a:schemeClr val="tx2"/>
    </cs:fontRef>
  </cs:plotArea3D>
  <cs:seriesAxis>
    <cs:lnRef idx="0"/>
    <cs:fillRef idx="0"/>
    <cs:effectRef idx="0"/>
    <cs:fontRef idx="minor">
      <a:schemeClr val="tx2"/>
    </cs:fontRef>
    <cs:spPr>
      <a:ln w="9525" cap="flat" cmpd="sng" algn="ctr">
        <a:solidFill>
          <a:schemeClr val="tx2">
            <a:lumMod val="15000"/>
            <a:lumOff val="85000"/>
          </a:schemeClr>
        </a:solidFill>
        <a:round/>
      </a:ln>
    </cs:spPr>
    <cs:defRPr sz="900" kern="1200"/>
  </cs:seriesAxis>
  <cs:seriesLine>
    <cs:lnRef idx="0"/>
    <cs:fillRef idx="0"/>
    <cs:effectRef idx="0"/>
    <cs:fontRef idx="minor">
      <a:schemeClr val="tx2"/>
    </cs:fontRef>
    <cs:spPr>
      <a:ln w="9525">
        <a:solidFill>
          <a:schemeClr val="tx2">
            <a:lumMod val="60000"/>
            <a:lumOff val="40000"/>
          </a:schemeClr>
        </a:solidFill>
        <a:prstDash val="dash"/>
      </a:ln>
    </cs:spPr>
  </cs:seriesLine>
  <cs:title>
    <cs:lnRef idx="0"/>
    <cs:fillRef idx="0"/>
    <cs:effectRef idx="0"/>
    <cs:fontRef idx="minor">
      <a:schemeClr val="tx2"/>
    </cs:fontRef>
    <cs:defRPr sz="1600" b="1" kern="1200"/>
  </cs:title>
  <cs:trendline>
    <cs:lnRef idx="0">
      <cs:styleClr val="auto"/>
    </cs:lnRef>
    <cs:fillRef idx="0"/>
    <cs:effectRef idx="0"/>
    <cs:fontRef idx="minor">
      <a:schemeClr val="tx2"/>
    </cs:fontRef>
    <cs:spPr>
      <a:ln w="19050" cap="rnd">
        <a:solidFill>
          <a:schemeClr val="phClr"/>
        </a:solidFill>
        <a:prstDash val="sysDash"/>
      </a:ln>
    </cs:spPr>
  </cs:trendline>
  <cs:trendlineLabel>
    <cs:lnRef idx="0"/>
    <cs:fillRef idx="0"/>
    <cs:effectRef idx="0"/>
    <cs:fontRef idx="minor">
      <a:schemeClr val="tx2"/>
    </cs:fontRef>
    <cs:defRPr sz="900" kern="1200"/>
  </cs:trendlineLabel>
  <cs:upBar>
    <cs:lnRef idx="0"/>
    <cs:fillRef idx="0"/>
    <cs:effectRef idx="0"/>
    <cs:fontRef idx="minor">
      <a:schemeClr val="tx2"/>
    </cs:fontRef>
    <cs:spPr>
      <a:solidFill>
        <a:schemeClr val="lt1"/>
      </a:solidFill>
      <a:ln w="9525">
        <a:solidFill>
          <a:schemeClr val="tx1">
            <a:lumMod val="15000"/>
            <a:lumOff val="85000"/>
          </a:schemeClr>
        </a:solidFill>
      </a:ln>
    </cs:spPr>
  </cs:upBar>
  <cs:valueAxis>
    <cs:lnRef idx="0"/>
    <cs:fillRef idx="0"/>
    <cs:effectRef idx="0"/>
    <cs:fontRef idx="minor">
      <a:schemeClr val="tx2"/>
    </cs:fontRef>
    <cs:defRPr sz="900" kern="1200"/>
  </cs:valueAxis>
  <cs:wall>
    <cs:lnRef idx="0"/>
    <cs:fillRef idx="0"/>
    <cs:effectRef idx="0"/>
    <cs:fontRef idx="minor">
      <a:schemeClr val="tx2"/>
    </cs:fontRef>
  </cs:wall>
</cs:chartStyle>
</file>

<file path=xl/charts/style4.xml><?xml version="1.0" encoding="utf-8"?>
<cs:chartStyle xmlns:cs="http://schemas.microsoft.com/office/drawing/2012/chartStyle" xmlns:a="http://schemas.openxmlformats.org/drawingml/2006/main" id="302">
  <cs:axisTitle>
    <cs:lnRef idx="0"/>
    <cs:fillRef idx="0"/>
    <cs:effectRef idx="0"/>
    <cs:fontRef idx="minor">
      <a:schemeClr val="tx2"/>
    </cs:fontRef>
    <cs:defRPr sz="900" b="1" kern="1200"/>
  </cs:axisTitle>
  <cs:categoryAxis>
    <cs:lnRef idx="0"/>
    <cs:fillRef idx="0"/>
    <cs:effectRef idx="0"/>
    <cs:fontRef idx="minor">
      <a:schemeClr val="tx2"/>
    </cs:fontRef>
    <cs:spPr>
      <a:ln w="9525" cap="flat" cmpd="sng" algn="ctr">
        <a:solidFill>
          <a:schemeClr val="tx2">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2">
            <a:lumMod val="15000"/>
            <a:lumOff val="85000"/>
          </a:schemeClr>
        </a:solidFill>
        <a:round/>
      </a:ln>
    </cs:spPr>
    <cs:defRPr sz="900" kern="1200"/>
  </cs:chartArea>
  <cs:dataLabel>
    <cs:lnRef idx="0"/>
    <cs:fillRef idx="0"/>
    <cs:effectRef idx="0"/>
    <cs:fontRef idx="minor">
      <a:schemeClr val="tx2"/>
    </cs:fontRef>
    <cs:defRPr sz="900" kern="1200"/>
  </cs:dataLabel>
  <cs:dataLabelCallout>
    <cs:lnRef idx="0"/>
    <cs:fillRef idx="0"/>
    <cs:effectRef idx="0"/>
    <cs:fontRef idx="minor">
      <a:schemeClr val="dk2">
        <a:lumMod val="7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2"/>
    <cs:fontRef idx="minor">
      <a:schemeClr val="tx2"/>
    </cs:fontRef>
  </cs:dataPoint>
  <cs:dataPoint3D>
    <cs:lnRef idx="0"/>
    <cs:fillRef idx="3">
      <cs:styleClr val="auto"/>
    </cs:fillRef>
    <cs:effectRef idx="2"/>
    <cs:fontRef idx="minor">
      <a:schemeClr val="tx2"/>
    </cs:fontRef>
  </cs:dataPoint3D>
  <cs:dataPointLine>
    <cs:lnRef idx="0">
      <cs:styleClr val="auto"/>
    </cs:lnRef>
    <cs:fillRef idx="3"/>
    <cs:effectRef idx="2"/>
    <cs:fontRef idx="minor">
      <a:schemeClr val="tx2"/>
    </cs:fontRef>
    <cs:spPr>
      <a:ln w="31750" cap="rnd">
        <a:solidFill>
          <a:schemeClr val="phClr"/>
        </a:solidFill>
        <a:round/>
      </a:ln>
    </cs:spPr>
  </cs:dataPointLine>
  <cs:dataPointMarker>
    <cs:lnRef idx="0"/>
    <cs:fillRef idx="3">
      <cs:styleClr val="auto"/>
    </cs:fillRef>
    <cs:effectRef idx="2"/>
    <cs:fontRef idx="minor">
      <a:schemeClr val="tx2"/>
    </cs:fontRef>
    <cs:spPr>
      <a:ln w="12700">
        <a:solidFill>
          <a:schemeClr val="lt2"/>
        </a:solidFill>
        <a:round/>
      </a:ln>
    </cs:spPr>
  </cs:dataPointMarker>
  <cs:dataPointMarkerLayout symbol="circle" size="6"/>
  <cs:dataPointWireframe>
    <cs:lnRef idx="0">
      <cs:styleClr val="auto"/>
    </cs:lnRef>
    <cs:fillRef idx="3"/>
    <cs:effectRef idx="2"/>
    <cs:fontRef idx="minor">
      <a:schemeClr val="tx2"/>
    </cs:fontRef>
    <cs:spPr>
      <a:ln w="9525" cap="rnd">
        <a:solidFill>
          <a:schemeClr val="phClr"/>
        </a:solidFill>
        <a:round/>
      </a:ln>
    </cs:spPr>
  </cs:dataPointWireframe>
  <cs:dataTable>
    <cs:lnRef idx="0"/>
    <cs:fillRef idx="0"/>
    <cs:effectRef idx="0"/>
    <cs:fontRef idx="minor">
      <a:schemeClr val="tx2"/>
    </cs:fontRef>
    <cs:spPr>
      <a:ln w="9525">
        <a:solidFill>
          <a:schemeClr val="tx2">
            <a:lumMod val="15000"/>
            <a:lumOff val="85000"/>
          </a:schemeClr>
        </a:solidFill>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2"/>
    </cs:fontRef>
    <cs:spPr>
      <a:ln w="9525">
        <a:solidFill>
          <a:schemeClr val="tx2">
            <a:lumMod val="60000"/>
            <a:lumOff val="40000"/>
          </a:schemeClr>
        </a:solidFill>
        <a:prstDash val="dash"/>
      </a:ln>
    </cs:spPr>
  </cs:dropLine>
  <cs:errorBar>
    <cs:lnRef idx="0"/>
    <cs:fillRef idx="0"/>
    <cs:effectRef idx="0"/>
    <cs:fontRef idx="minor">
      <a:schemeClr val="tx2"/>
    </cs:fontRef>
    <cs:spPr>
      <a:ln w="9525">
        <a:solidFill>
          <a:schemeClr val="tx2">
            <a:lumMod val="75000"/>
          </a:schemeClr>
        </a:solidFill>
        <a:round/>
      </a:ln>
    </cs:spPr>
  </cs:errorBar>
  <cs:floor>
    <cs:lnRef idx="0"/>
    <cs:fillRef idx="0"/>
    <cs:effectRef idx="0"/>
    <cs:fontRef idx="minor">
      <a:schemeClr val="tx2"/>
    </cs:fontRef>
  </cs:floor>
  <cs:gridlineMajor>
    <cs:lnRef idx="0"/>
    <cs:fillRef idx="0"/>
    <cs:effectRef idx="0"/>
    <cs:fontRef idx="minor">
      <a:schemeClr val="tx2"/>
    </cs:fontRef>
    <cs:spPr>
      <a:ln w="9525" cap="flat" cmpd="sng" algn="ctr">
        <a:solidFill>
          <a:schemeClr val="tx2">
            <a:lumMod val="15000"/>
            <a:lumOff val="85000"/>
          </a:schemeClr>
        </a:solidFill>
        <a:round/>
      </a:ln>
    </cs:spPr>
  </cs:gridlineMajor>
  <cs:gridlineMinor>
    <cs:lnRef idx="0"/>
    <cs:fillRef idx="0"/>
    <cs:effectRef idx="0"/>
    <cs:fontRef idx="minor">
      <a:schemeClr val="tx2"/>
    </cs:fontRef>
    <cs:spPr>
      <a:ln>
        <a:solidFill>
          <a:schemeClr val="tx2">
            <a:lumMod val="5000"/>
            <a:lumOff val="95000"/>
          </a:schemeClr>
        </a:solidFill>
      </a:ln>
    </cs:spPr>
  </cs:gridlineMinor>
  <cs:hiLoLine>
    <cs:lnRef idx="0"/>
    <cs:fillRef idx="0"/>
    <cs:effectRef idx="0"/>
    <cs:fontRef idx="minor">
      <a:schemeClr val="tx2"/>
    </cs:fontRef>
    <cs:spPr>
      <a:ln w="9525">
        <a:solidFill>
          <a:schemeClr val="tx2">
            <a:lumMod val="60000"/>
            <a:lumOff val="40000"/>
          </a:schemeClr>
        </a:solidFill>
        <a:prstDash val="dash"/>
      </a:ln>
    </cs:spPr>
  </cs:hiLoLine>
  <cs:leaderLine>
    <cs:lnRef idx="0"/>
    <cs:fillRef idx="0"/>
    <cs:effectRef idx="0"/>
    <cs:fontRef idx="minor">
      <a:schemeClr val="tx2"/>
    </cs:fontRef>
    <cs:spPr>
      <a:ln w="9525">
        <a:solidFill>
          <a:schemeClr val="tx2">
            <a:lumMod val="35000"/>
            <a:lumOff val="65000"/>
          </a:schemeClr>
        </a:solidFill>
      </a:ln>
    </cs:spPr>
  </cs:leaderLine>
  <cs:legend>
    <cs:lnRef idx="0"/>
    <cs:fillRef idx="0"/>
    <cs:effectRef idx="0"/>
    <cs:fontRef idx="minor">
      <a:schemeClr val="tx2"/>
    </cs:fontRef>
    <cs:defRPr sz="900" kern="1200"/>
  </cs:legend>
  <cs:plotArea>
    <cs:lnRef idx="0"/>
    <cs:fillRef idx="0"/>
    <cs:effectRef idx="0"/>
    <cs:fontRef idx="minor">
      <a:schemeClr val="tx2"/>
    </cs:fontRef>
  </cs:plotArea>
  <cs:plotArea3D>
    <cs:lnRef idx="0"/>
    <cs:fillRef idx="0"/>
    <cs:effectRef idx="0"/>
    <cs:fontRef idx="minor">
      <a:schemeClr val="tx2"/>
    </cs:fontRef>
  </cs:plotArea3D>
  <cs:seriesAxis>
    <cs:lnRef idx="0"/>
    <cs:fillRef idx="0"/>
    <cs:effectRef idx="0"/>
    <cs:fontRef idx="minor">
      <a:schemeClr val="tx2"/>
    </cs:fontRef>
    <cs:spPr>
      <a:ln w="9525" cap="flat" cmpd="sng" algn="ctr">
        <a:solidFill>
          <a:schemeClr val="tx2">
            <a:lumMod val="15000"/>
            <a:lumOff val="85000"/>
          </a:schemeClr>
        </a:solidFill>
        <a:round/>
      </a:ln>
    </cs:spPr>
    <cs:defRPr sz="900" kern="1200"/>
  </cs:seriesAxis>
  <cs:seriesLine>
    <cs:lnRef idx="0"/>
    <cs:fillRef idx="0"/>
    <cs:effectRef idx="0"/>
    <cs:fontRef idx="minor">
      <a:schemeClr val="tx2"/>
    </cs:fontRef>
    <cs:spPr>
      <a:ln w="9525">
        <a:solidFill>
          <a:schemeClr val="tx2">
            <a:lumMod val="60000"/>
            <a:lumOff val="40000"/>
          </a:schemeClr>
        </a:solidFill>
        <a:prstDash val="dash"/>
      </a:ln>
    </cs:spPr>
  </cs:seriesLine>
  <cs:title>
    <cs:lnRef idx="0"/>
    <cs:fillRef idx="0"/>
    <cs:effectRef idx="0"/>
    <cs:fontRef idx="minor">
      <a:schemeClr val="tx2"/>
    </cs:fontRef>
    <cs:defRPr sz="1600" b="1" kern="1200"/>
  </cs:title>
  <cs:trendline>
    <cs:lnRef idx="0">
      <cs:styleClr val="auto"/>
    </cs:lnRef>
    <cs:fillRef idx="0"/>
    <cs:effectRef idx="0"/>
    <cs:fontRef idx="minor">
      <a:schemeClr val="tx2"/>
    </cs:fontRef>
    <cs:spPr>
      <a:ln w="19050" cap="rnd">
        <a:solidFill>
          <a:schemeClr val="phClr"/>
        </a:solidFill>
        <a:prstDash val="sysDash"/>
      </a:ln>
    </cs:spPr>
  </cs:trendline>
  <cs:trendlineLabel>
    <cs:lnRef idx="0"/>
    <cs:fillRef idx="0"/>
    <cs:effectRef idx="0"/>
    <cs:fontRef idx="minor">
      <a:schemeClr val="tx2"/>
    </cs:fontRef>
    <cs:defRPr sz="900" kern="1200"/>
  </cs:trendlineLabel>
  <cs:upBar>
    <cs:lnRef idx="0"/>
    <cs:fillRef idx="0"/>
    <cs:effectRef idx="0"/>
    <cs:fontRef idx="minor">
      <a:schemeClr val="tx2"/>
    </cs:fontRef>
    <cs:spPr>
      <a:solidFill>
        <a:schemeClr val="lt1"/>
      </a:solidFill>
      <a:ln w="9525">
        <a:solidFill>
          <a:schemeClr val="tx1">
            <a:lumMod val="15000"/>
            <a:lumOff val="85000"/>
          </a:schemeClr>
        </a:solidFill>
      </a:ln>
    </cs:spPr>
  </cs:upBar>
  <cs:valueAxis>
    <cs:lnRef idx="0"/>
    <cs:fillRef idx="0"/>
    <cs:effectRef idx="0"/>
    <cs:fontRef idx="minor">
      <a:schemeClr val="tx2"/>
    </cs:fontRef>
    <cs:defRPr sz="900" kern="1200"/>
  </cs:valueAxis>
  <cs:wall>
    <cs:lnRef idx="0"/>
    <cs:fillRef idx="0"/>
    <cs:effectRef idx="0"/>
    <cs:fontRef idx="minor">
      <a:schemeClr val="tx2"/>
    </cs:fontRef>
  </cs:wall>
</cs:chartStyle>
</file>

<file path=xl/charts/style5.xml><?xml version="1.0" encoding="utf-8"?>
<cs:chartStyle xmlns:cs="http://schemas.microsoft.com/office/drawing/2012/chartStyle" xmlns:a="http://schemas.openxmlformats.org/drawingml/2006/main" id="207">
  <cs:axisTitle>
    <cs:lnRef idx="0"/>
    <cs:fillRef idx="0"/>
    <cs:effectRef idx="0"/>
    <cs:fontRef idx="minor">
      <a:schemeClr val="tx2"/>
    </cs:fontRef>
    <cs:defRPr sz="900" b="1" kern="1200"/>
  </cs:axisTitle>
  <cs:categoryAxis>
    <cs:lnRef idx="0"/>
    <cs:fillRef idx="0"/>
    <cs:effectRef idx="0"/>
    <cs:fontRef idx="minor">
      <a:schemeClr val="tx2"/>
    </cs:fontRef>
    <cs:spPr>
      <a:ln w="9525" cap="flat" cmpd="sng" algn="ctr">
        <a:solidFill>
          <a:schemeClr val="tx2">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2">
            <a:lumMod val="15000"/>
            <a:lumOff val="85000"/>
          </a:schemeClr>
        </a:solidFill>
        <a:round/>
      </a:ln>
    </cs:spPr>
    <cs:defRPr sz="900" kern="1200"/>
  </cs:chartArea>
  <cs:dataLabel>
    <cs:lnRef idx="0"/>
    <cs:fillRef idx="0"/>
    <cs:effectRef idx="0"/>
    <cs:fontRef idx="minor">
      <a:schemeClr val="tx2"/>
    </cs:fontRef>
    <cs:defRPr sz="900" kern="1200"/>
  </cs:dataLabel>
  <cs:dataLabelCallout>
    <cs:lnRef idx="0"/>
    <cs:fillRef idx="0"/>
    <cs:effectRef idx="0"/>
    <cs:fontRef idx="minor">
      <a:schemeClr val="dk2">
        <a:lumMod val="7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2"/>
    <cs:fontRef idx="minor">
      <a:schemeClr val="tx2"/>
    </cs:fontRef>
  </cs:dataPoint>
  <cs:dataPoint3D>
    <cs:lnRef idx="0"/>
    <cs:fillRef idx="3">
      <cs:styleClr val="auto"/>
    </cs:fillRef>
    <cs:effectRef idx="2"/>
    <cs:fontRef idx="minor">
      <a:schemeClr val="tx2"/>
    </cs:fontRef>
  </cs:dataPoint3D>
  <cs:dataPointLine>
    <cs:lnRef idx="0">
      <cs:styleClr val="auto"/>
    </cs:lnRef>
    <cs:fillRef idx="3"/>
    <cs:effectRef idx="2"/>
    <cs:fontRef idx="minor">
      <a:schemeClr val="tx2"/>
    </cs:fontRef>
    <cs:spPr>
      <a:ln w="31750" cap="rnd">
        <a:solidFill>
          <a:schemeClr val="phClr"/>
        </a:solidFill>
        <a:round/>
      </a:ln>
    </cs:spPr>
  </cs:dataPointLine>
  <cs:dataPointMarker>
    <cs:lnRef idx="0"/>
    <cs:fillRef idx="3">
      <cs:styleClr val="auto"/>
    </cs:fillRef>
    <cs:effectRef idx="2"/>
    <cs:fontRef idx="minor">
      <a:schemeClr val="tx2"/>
    </cs:fontRef>
    <cs:spPr>
      <a:ln w="12700">
        <a:solidFill>
          <a:schemeClr val="lt2"/>
        </a:solidFill>
        <a:round/>
      </a:ln>
    </cs:spPr>
  </cs:dataPointMarker>
  <cs:dataPointMarkerLayout symbol="circle" size="6"/>
  <cs:dataPointWireframe>
    <cs:lnRef idx="0">
      <cs:styleClr val="auto"/>
    </cs:lnRef>
    <cs:fillRef idx="3"/>
    <cs:effectRef idx="2"/>
    <cs:fontRef idx="minor">
      <a:schemeClr val="tx2"/>
    </cs:fontRef>
    <cs:spPr>
      <a:ln w="9525" cap="rnd">
        <a:solidFill>
          <a:schemeClr val="phClr"/>
        </a:solidFill>
        <a:round/>
      </a:ln>
    </cs:spPr>
  </cs:dataPointWireframe>
  <cs:dataTable>
    <cs:lnRef idx="0"/>
    <cs:fillRef idx="0"/>
    <cs:effectRef idx="0"/>
    <cs:fontRef idx="minor">
      <a:schemeClr val="tx2"/>
    </cs:fontRef>
    <cs:spPr>
      <a:ln w="9525">
        <a:solidFill>
          <a:schemeClr val="tx2">
            <a:lumMod val="15000"/>
            <a:lumOff val="85000"/>
          </a:schemeClr>
        </a:solidFill>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2"/>
    </cs:fontRef>
    <cs:spPr>
      <a:ln w="9525">
        <a:solidFill>
          <a:schemeClr val="tx2">
            <a:lumMod val="60000"/>
            <a:lumOff val="40000"/>
          </a:schemeClr>
        </a:solidFill>
        <a:prstDash val="dash"/>
      </a:ln>
    </cs:spPr>
  </cs:dropLine>
  <cs:errorBar>
    <cs:lnRef idx="0"/>
    <cs:fillRef idx="0"/>
    <cs:effectRef idx="0"/>
    <cs:fontRef idx="minor">
      <a:schemeClr val="tx2"/>
    </cs:fontRef>
    <cs:spPr>
      <a:ln w="9525">
        <a:solidFill>
          <a:schemeClr val="tx2">
            <a:lumMod val="75000"/>
            <a:lumOff val="25000"/>
          </a:schemeClr>
        </a:solidFill>
        <a:round/>
      </a:ln>
    </cs:spPr>
  </cs:errorBar>
  <cs:floor>
    <cs:lnRef idx="0"/>
    <cs:fillRef idx="0"/>
    <cs:effectRef idx="0"/>
    <cs:fontRef idx="minor">
      <a:schemeClr val="tx2"/>
    </cs:fontRef>
  </cs:floor>
  <cs:gridlineMajor>
    <cs:lnRef idx="0"/>
    <cs:fillRef idx="0"/>
    <cs:effectRef idx="0"/>
    <cs:fontRef idx="minor">
      <a:schemeClr val="tx2"/>
    </cs:fontRef>
    <cs:spPr>
      <a:ln w="9525" cap="flat" cmpd="sng" algn="ctr">
        <a:solidFill>
          <a:schemeClr val="tx2">
            <a:lumMod val="15000"/>
            <a:lumOff val="85000"/>
          </a:schemeClr>
        </a:solidFill>
        <a:round/>
      </a:ln>
    </cs:spPr>
  </cs:gridlineMajor>
  <cs:gridlineMinor>
    <cs:lnRef idx="0"/>
    <cs:fillRef idx="0"/>
    <cs:effectRef idx="0"/>
    <cs:fontRef idx="minor">
      <a:schemeClr val="tx2"/>
    </cs:fontRef>
    <cs:spPr>
      <a:ln>
        <a:solidFill>
          <a:schemeClr val="tx2">
            <a:lumMod val="5000"/>
            <a:lumOff val="95000"/>
          </a:schemeClr>
        </a:solidFill>
      </a:ln>
    </cs:spPr>
  </cs:gridlineMinor>
  <cs:hiLoLine>
    <cs:lnRef idx="0"/>
    <cs:fillRef idx="0"/>
    <cs:effectRef idx="0"/>
    <cs:fontRef idx="minor">
      <a:schemeClr val="tx2"/>
    </cs:fontRef>
    <cs:spPr>
      <a:ln w="9525">
        <a:solidFill>
          <a:schemeClr val="tx2">
            <a:lumMod val="60000"/>
            <a:lumOff val="40000"/>
          </a:schemeClr>
        </a:solidFill>
        <a:prstDash val="dash"/>
      </a:ln>
    </cs:spPr>
  </cs:hiLoLine>
  <cs:leaderLine>
    <cs:lnRef idx="0"/>
    <cs:fillRef idx="0"/>
    <cs:effectRef idx="0"/>
    <cs:fontRef idx="minor">
      <a:schemeClr val="tx2"/>
    </cs:fontRef>
    <cs:spPr>
      <a:ln w="9525">
        <a:solidFill>
          <a:schemeClr val="tx2">
            <a:lumMod val="35000"/>
            <a:lumOff val="65000"/>
          </a:schemeClr>
        </a:solidFill>
      </a:ln>
    </cs:spPr>
  </cs:leaderLine>
  <cs:legend>
    <cs:lnRef idx="0"/>
    <cs:fillRef idx="0"/>
    <cs:effectRef idx="0"/>
    <cs:fontRef idx="minor">
      <a:schemeClr val="tx2"/>
    </cs:fontRef>
    <cs:defRPr sz="900" kern="1200"/>
  </cs:legend>
  <cs:plotArea>
    <cs:lnRef idx="0"/>
    <cs:fillRef idx="0"/>
    <cs:effectRef idx="0"/>
    <cs:fontRef idx="minor">
      <a:schemeClr val="tx2"/>
    </cs:fontRef>
  </cs:plotArea>
  <cs:plotArea3D>
    <cs:lnRef idx="0"/>
    <cs:fillRef idx="0"/>
    <cs:effectRef idx="0"/>
    <cs:fontRef idx="minor">
      <a:schemeClr val="tx2"/>
    </cs:fontRef>
  </cs:plotArea3D>
  <cs:seriesAxis>
    <cs:lnRef idx="0"/>
    <cs:fillRef idx="0"/>
    <cs:effectRef idx="0"/>
    <cs:fontRef idx="minor">
      <a:schemeClr val="tx2"/>
    </cs:fontRef>
    <cs:spPr>
      <a:ln w="9525" cap="flat" cmpd="sng" algn="ctr">
        <a:solidFill>
          <a:schemeClr val="tx2">
            <a:lumMod val="15000"/>
            <a:lumOff val="85000"/>
          </a:schemeClr>
        </a:solidFill>
        <a:round/>
      </a:ln>
    </cs:spPr>
    <cs:defRPr sz="900" kern="1200"/>
  </cs:seriesAxis>
  <cs:seriesLine>
    <cs:lnRef idx="0"/>
    <cs:fillRef idx="0"/>
    <cs:effectRef idx="0"/>
    <cs:fontRef idx="minor">
      <a:schemeClr val="tx2"/>
    </cs:fontRef>
    <cs:spPr>
      <a:ln w="9525">
        <a:solidFill>
          <a:schemeClr val="tx2">
            <a:lumMod val="60000"/>
            <a:lumOff val="40000"/>
          </a:schemeClr>
        </a:solidFill>
        <a:prstDash val="dash"/>
      </a:ln>
    </cs:spPr>
  </cs:seriesLine>
  <cs:title>
    <cs:lnRef idx="0"/>
    <cs:fillRef idx="0"/>
    <cs:effectRef idx="0"/>
    <cs:fontRef idx="minor">
      <a:schemeClr val="tx2"/>
    </cs:fontRef>
    <cs:defRPr sz="1600" b="1" kern="1200"/>
  </cs:title>
  <cs:trendline>
    <cs:lnRef idx="0">
      <cs:styleClr val="auto"/>
    </cs:lnRef>
    <cs:fillRef idx="0"/>
    <cs:effectRef idx="0"/>
    <cs:fontRef idx="minor">
      <a:schemeClr val="tx2"/>
    </cs:fontRef>
    <cs:spPr>
      <a:ln w="19050" cap="rnd">
        <a:solidFill>
          <a:schemeClr val="phClr"/>
        </a:solidFill>
        <a:prstDash val="sysDash"/>
      </a:ln>
    </cs:spPr>
  </cs:trendline>
  <cs:trendlineLabel>
    <cs:lnRef idx="0"/>
    <cs:fillRef idx="0"/>
    <cs:effectRef idx="0"/>
    <cs:fontRef idx="minor">
      <a:schemeClr val="tx2"/>
    </cs:fontRef>
    <cs:defRPr sz="900" kern="1200"/>
  </cs:trendlineLabel>
  <cs:upBar>
    <cs:lnRef idx="0"/>
    <cs:fillRef idx="0"/>
    <cs:effectRef idx="0"/>
    <cs:fontRef idx="minor">
      <a:schemeClr val="tx2"/>
    </cs:fontRef>
    <cs:spPr>
      <a:solidFill>
        <a:schemeClr val="lt1"/>
      </a:solidFill>
      <a:ln w="9525">
        <a:solidFill>
          <a:schemeClr val="tx1">
            <a:lumMod val="15000"/>
            <a:lumOff val="85000"/>
          </a:schemeClr>
        </a:solidFill>
      </a:ln>
    </cs:spPr>
  </cs:upBar>
  <cs:valueAxis>
    <cs:lnRef idx="0"/>
    <cs:fillRef idx="0"/>
    <cs:effectRef idx="0"/>
    <cs:fontRef idx="minor">
      <a:schemeClr val="tx2"/>
    </cs:fontRef>
    <cs:defRPr sz="900" kern="1200"/>
  </cs:valueAxis>
  <cs:wall>
    <cs:lnRef idx="0"/>
    <cs:fillRef idx="0"/>
    <cs:effectRef idx="0"/>
    <cs:fontRef idx="minor">
      <a:schemeClr val="tx2"/>
    </cs:fontRef>
  </cs:wall>
</cs:chartStyle>
</file>

<file path=xl/charts/style6.xml><?xml version="1.0" encoding="utf-8"?>
<cs:chartStyle xmlns:cs="http://schemas.microsoft.com/office/drawing/2012/chartStyle" xmlns:a="http://schemas.openxmlformats.org/drawingml/2006/main" id="302">
  <cs:axisTitle>
    <cs:lnRef idx="0"/>
    <cs:fillRef idx="0"/>
    <cs:effectRef idx="0"/>
    <cs:fontRef idx="minor">
      <a:schemeClr val="tx2"/>
    </cs:fontRef>
    <cs:defRPr sz="900" b="1" kern="1200"/>
  </cs:axisTitle>
  <cs:categoryAxis>
    <cs:lnRef idx="0"/>
    <cs:fillRef idx="0"/>
    <cs:effectRef idx="0"/>
    <cs:fontRef idx="minor">
      <a:schemeClr val="tx2"/>
    </cs:fontRef>
    <cs:spPr>
      <a:ln w="9525" cap="flat" cmpd="sng" algn="ctr">
        <a:solidFill>
          <a:schemeClr val="tx2">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2">
            <a:lumMod val="15000"/>
            <a:lumOff val="85000"/>
          </a:schemeClr>
        </a:solidFill>
        <a:round/>
      </a:ln>
    </cs:spPr>
    <cs:defRPr sz="900" kern="1200"/>
  </cs:chartArea>
  <cs:dataLabel>
    <cs:lnRef idx="0"/>
    <cs:fillRef idx="0"/>
    <cs:effectRef idx="0"/>
    <cs:fontRef idx="minor">
      <a:schemeClr val="tx2"/>
    </cs:fontRef>
    <cs:defRPr sz="900" kern="1200"/>
  </cs:dataLabel>
  <cs:dataLabelCallout>
    <cs:lnRef idx="0"/>
    <cs:fillRef idx="0"/>
    <cs:effectRef idx="0"/>
    <cs:fontRef idx="minor">
      <a:schemeClr val="dk2">
        <a:lumMod val="7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2"/>
    <cs:fontRef idx="minor">
      <a:schemeClr val="tx2"/>
    </cs:fontRef>
  </cs:dataPoint>
  <cs:dataPoint3D>
    <cs:lnRef idx="0"/>
    <cs:fillRef idx="3">
      <cs:styleClr val="auto"/>
    </cs:fillRef>
    <cs:effectRef idx="2"/>
    <cs:fontRef idx="minor">
      <a:schemeClr val="tx2"/>
    </cs:fontRef>
  </cs:dataPoint3D>
  <cs:dataPointLine>
    <cs:lnRef idx="0">
      <cs:styleClr val="auto"/>
    </cs:lnRef>
    <cs:fillRef idx="3"/>
    <cs:effectRef idx="2"/>
    <cs:fontRef idx="minor">
      <a:schemeClr val="tx2"/>
    </cs:fontRef>
    <cs:spPr>
      <a:ln w="31750" cap="rnd">
        <a:solidFill>
          <a:schemeClr val="phClr"/>
        </a:solidFill>
        <a:round/>
      </a:ln>
    </cs:spPr>
  </cs:dataPointLine>
  <cs:dataPointMarker>
    <cs:lnRef idx="0"/>
    <cs:fillRef idx="3">
      <cs:styleClr val="auto"/>
    </cs:fillRef>
    <cs:effectRef idx="2"/>
    <cs:fontRef idx="minor">
      <a:schemeClr val="tx2"/>
    </cs:fontRef>
    <cs:spPr>
      <a:ln w="12700">
        <a:solidFill>
          <a:schemeClr val="lt2"/>
        </a:solidFill>
        <a:round/>
      </a:ln>
    </cs:spPr>
  </cs:dataPointMarker>
  <cs:dataPointMarkerLayout symbol="circle" size="6"/>
  <cs:dataPointWireframe>
    <cs:lnRef idx="0">
      <cs:styleClr val="auto"/>
    </cs:lnRef>
    <cs:fillRef idx="3"/>
    <cs:effectRef idx="2"/>
    <cs:fontRef idx="minor">
      <a:schemeClr val="tx2"/>
    </cs:fontRef>
    <cs:spPr>
      <a:ln w="9525" cap="rnd">
        <a:solidFill>
          <a:schemeClr val="phClr"/>
        </a:solidFill>
        <a:round/>
      </a:ln>
    </cs:spPr>
  </cs:dataPointWireframe>
  <cs:dataTable>
    <cs:lnRef idx="0"/>
    <cs:fillRef idx="0"/>
    <cs:effectRef idx="0"/>
    <cs:fontRef idx="minor">
      <a:schemeClr val="tx2"/>
    </cs:fontRef>
    <cs:spPr>
      <a:ln w="9525">
        <a:solidFill>
          <a:schemeClr val="tx2">
            <a:lumMod val="15000"/>
            <a:lumOff val="85000"/>
          </a:schemeClr>
        </a:solidFill>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2"/>
    </cs:fontRef>
    <cs:spPr>
      <a:ln w="9525">
        <a:solidFill>
          <a:schemeClr val="tx2">
            <a:lumMod val="60000"/>
            <a:lumOff val="40000"/>
          </a:schemeClr>
        </a:solidFill>
        <a:prstDash val="dash"/>
      </a:ln>
    </cs:spPr>
  </cs:dropLine>
  <cs:errorBar>
    <cs:lnRef idx="0"/>
    <cs:fillRef idx="0"/>
    <cs:effectRef idx="0"/>
    <cs:fontRef idx="minor">
      <a:schemeClr val="tx2"/>
    </cs:fontRef>
    <cs:spPr>
      <a:ln w="9525">
        <a:solidFill>
          <a:schemeClr val="tx2">
            <a:lumMod val="75000"/>
          </a:schemeClr>
        </a:solidFill>
        <a:round/>
      </a:ln>
    </cs:spPr>
  </cs:errorBar>
  <cs:floor>
    <cs:lnRef idx="0"/>
    <cs:fillRef idx="0"/>
    <cs:effectRef idx="0"/>
    <cs:fontRef idx="minor">
      <a:schemeClr val="tx2"/>
    </cs:fontRef>
  </cs:floor>
  <cs:gridlineMajor>
    <cs:lnRef idx="0"/>
    <cs:fillRef idx="0"/>
    <cs:effectRef idx="0"/>
    <cs:fontRef idx="minor">
      <a:schemeClr val="tx2"/>
    </cs:fontRef>
    <cs:spPr>
      <a:ln w="9525" cap="flat" cmpd="sng" algn="ctr">
        <a:solidFill>
          <a:schemeClr val="tx2">
            <a:lumMod val="15000"/>
            <a:lumOff val="85000"/>
          </a:schemeClr>
        </a:solidFill>
        <a:round/>
      </a:ln>
    </cs:spPr>
  </cs:gridlineMajor>
  <cs:gridlineMinor>
    <cs:lnRef idx="0"/>
    <cs:fillRef idx="0"/>
    <cs:effectRef idx="0"/>
    <cs:fontRef idx="minor">
      <a:schemeClr val="tx2"/>
    </cs:fontRef>
    <cs:spPr>
      <a:ln>
        <a:solidFill>
          <a:schemeClr val="tx2">
            <a:lumMod val="5000"/>
            <a:lumOff val="95000"/>
          </a:schemeClr>
        </a:solidFill>
      </a:ln>
    </cs:spPr>
  </cs:gridlineMinor>
  <cs:hiLoLine>
    <cs:lnRef idx="0"/>
    <cs:fillRef idx="0"/>
    <cs:effectRef idx="0"/>
    <cs:fontRef idx="minor">
      <a:schemeClr val="tx2"/>
    </cs:fontRef>
    <cs:spPr>
      <a:ln w="9525">
        <a:solidFill>
          <a:schemeClr val="tx2">
            <a:lumMod val="60000"/>
            <a:lumOff val="40000"/>
          </a:schemeClr>
        </a:solidFill>
        <a:prstDash val="dash"/>
      </a:ln>
    </cs:spPr>
  </cs:hiLoLine>
  <cs:leaderLine>
    <cs:lnRef idx="0"/>
    <cs:fillRef idx="0"/>
    <cs:effectRef idx="0"/>
    <cs:fontRef idx="minor">
      <a:schemeClr val="tx2"/>
    </cs:fontRef>
    <cs:spPr>
      <a:ln w="9525">
        <a:solidFill>
          <a:schemeClr val="tx2">
            <a:lumMod val="35000"/>
            <a:lumOff val="65000"/>
          </a:schemeClr>
        </a:solidFill>
      </a:ln>
    </cs:spPr>
  </cs:leaderLine>
  <cs:legend>
    <cs:lnRef idx="0"/>
    <cs:fillRef idx="0"/>
    <cs:effectRef idx="0"/>
    <cs:fontRef idx="minor">
      <a:schemeClr val="tx2"/>
    </cs:fontRef>
    <cs:defRPr sz="900" kern="1200"/>
  </cs:legend>
  <cs:plotArea>
    <cs:lnRef idx="0"/>
    <cs:fillRef idx="0"/>
    <cs:effectRef idx="0"/>
    <cs:fontRef idx="minor">
      <a:schemeClr val="tx2"/>
    </cs:fontRef>
  </cs:plotArea>
  <cs:plotArea3D>
    <cs:lnRef idx="0"/>
    <cs:fillRef idx="0"/>
    <cs:effectRef idx="0"/>
    <cs:fontRef idx="minor">
      <a:schemeClr val="tx2"/>
    </cs:fontRef>
  </cs:plotArea3D>
  <cs:seriesAxis>
    <cs:lnRef idx="0"/>
    <cs:fillRef idx="0"/>
    <cs:effectRef idx="0"/>
    <cs:fontRef idx="minor">
      <a:schemeClr val="tx2"/>
    </cs:fontRef>
    <cs:spPr>
      <a:ln w="9525" cap="flat" cmpd="sng" algn="ctr">
        <a:solidFill>
          <a:schemeClr val="tx2">
            <a:lumMod val="15000"/>
            <a:lumOff val="85000"/>
          </a:schemeClr>
        </a:solidFill>
        <a:round/>
      </a:ln>
    </cs:spPr>
    <cs:defRPr sz="900" kern="1200"/>
  </cs:seriesAxis>
  <cs:seriesLine>
    <cs:lnRef idx="0"/>
    <cs:fillRef idx="0"/>
    <cs:effectRef idx="0"/>
    <cs:fontRef idx="minor">
      <a:schemeClr val="tx2"/>
    </cs:fontRef>
    <cs:spPr>
      <a:ln w="9525">
        <a:solidFill>
          <a:schemeClr val="tx2">
            <a:lumMod val="60000"/>
            <a:lumOff val="40000"/>
          </a:schemeClr>
        </a:solidFill>
        <a:prstDash val="dash"/>
      </a:ln>
    </cs:spPr>
  </cs:seriesLine>
  <cs:title>
    <cs:lnRef idx="0"/>
    <cs:fillRef idx="0"/>
    <cs:effectRef idx="0"/>
    <cs:fontRef idx="minor">
      <a:schemeClr val="tx2"/>
    </cs:fontRef>
    <cs:defRPr sz="1600" b="1" kern="1200"/>
  </cs:title>
  <cs:trendline>
    <cs:lnRef idx="0">
      <cs:styleClr val="auto"/>
    </cs:lnRef>
    <cs:fillRef idx="0"/>
    <cs:effectRef idx="0"/>
    <cs:fontRef idx="minor">
      <a:schemeClr val="tx2"/>
    </cs:fontRef>
    <cs:spPr>
      <a:ln w="19050" cap="rnd">
        <a:solidFill>
          <a:schemeClr val="phClr"/>
        </a:solidFill>
        <a:prstDash val="sysDash"/>
      </a:ln>
    </cs:spPr>
  </cs:trendline>
  <cs:trendlineLabel>
    <cs:lnRef idx="0"/>
    <cs:fillRef idx="0"/>
    <cs:effectRef idx="0"/>
    <cs:fontRef idx="minor">
      <a:schemeClr val="tx2"/>
    </cs:fontRef>
    <cs:defRPr sz="900" kern="1200"/>
  </cs:trendlineLabel>
  <cs:upBar>
    <cs:lnRef idx="0"/>
    <cs:fillRef idx="0"/>
    <cs:effectRef idx="0"/>
    <cs:fontRef idx="minor">
      <a:schemeClr val="tx2"/>
    </cs:fontRef>
    <cs:spPr>
      <a:solidFill>
        <a:schemeClr val="lt1"/>
      </a:solidFill>
      <a:ln w="9525">
        <a:solidFill>
          <a:schemeClr val="tx1">
            <a:lumMod val="15000"/>
            <a:lumOff val="85000"/>
          </a:schemeClr>
        </a:solidFill>
      </a:ln>
    </cs:spPr>
  </cs:upBar>
  <cs:valueAxis>
    <cs:lnRef idx="0"/>
    <cs:fillRef idx="0"/>
    <cs:effectRef idx="0"/>
    <cs:fontRef idx="minor">
      <a:schemeClr val="tx2"/>
    </cs:fontRef>
    <cs:defRPr sz="900" kern="1200"/>
  </cs:valueAxis>
  <cs:wall>
    <cs:lnRef idx="0"/>
    <cs:fillRef idx="0"/>
    <cs:effectRef idx="0"/>
    <cs:fontRef idx="minor">
      <a:schemeClr val="tx2"/>
    </cs:fontRef>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1.xml"/><Relationship Id="rId7" Type="http://schemas.openxmlformats.org/officeDocument/2006/relationships/image" Target="../media/image2.jpeg"/><Relationship Id="rId2" Type="http://schemas.openxmlformats.org/officeDocument/2006/relationships/image" Target="../media/image1.png"/><Relationship Id="rId1" Type="http://schemas.openxmlformats.org/officeDocument/2006/relationships/hyperlink" Target="http://www.icfi.com/" TargetMode="External"/><Relationship Id="rId6" Type="http://schemas.openxmlformats.org/officeDocument/2006/relationships/hyperlink" Target="http://www.escenter.org/" TargetMode="External"/><Relationship Id="rId5" Type="http://schemas.openxmlformats.org/officeDocument/2006/relationships/chart" Target="../charts/chart3.xml"/><Relationship Id="rId4" Type="http://schemas.openxmlformats.org/officeDocument/2006/relationships/chart" Target="../charts/chart2.xml"/></Relationships>
</file>

<file path=xl/drawings/_rels/drawing2.xml.rels><?xml version="1.0" encoding="UTF-8" standalone="yes"?>
<Relationships xmlns="http://schemas.openxmlformats.org/package/2006/relationships"><Relationship Id="rId3" Type="http://schemas.openxmlformats.org/officeDocument/2006/relationships/chart" Target="../charts/chart6.xml"/><Relationship Id="rId2" Type="http://schemas.openxmlformats.org/officeDocument/2006/relationships/chart" Target="../charts/chart5.xml"/><Relationship Id="rId1" Type="http://schemas.openxmlformats.org/officeDocument/2006/relationships/chart" Target="../charts/chart4.xml"/></Relationships>
</file>

<file path=xl/drawings/drawing1.xml><?xml version="1.0" encoding="utf-8"?>
<xdr:wsDr xmlns:xdr="http://schemas.openxmlformats.org/drawingml/2006/spreadsheetDrawing" xmlns:a="http://schemas.openxmlformats.org/drawingml/2006/main">
  <xdr:twoCellAnchor>
    <xdr:from>
      <xdr:col>6</xdr:col>
      <xdr:colOff>561975</xdr:colOff>
      <xdr:row>82</xdr:row>
      <xdr:rowOff>152400</xdr:rowOff>
    </xdr:from>
    <xdr:to>
      <xdr:col>15</xdr:col>
      <xdr:colOff>19050</xdr:colOff>
      <xdr:row>87</xdr:row>
      <xdr:rowOff>152400</xdr:rowOff>
    </xdr:to>
    <xdr:sp macro="" textlink="">
      <xdr:nvSpPr>
        <xdr:cNvPr id="164996" name="Rectangle 7">
          <a:extLst>
            <a:ext uri="{FF2B5EF4-FFF2-40B4-BE49-F238E27FC236}">
              <a16:creationId xmlns:a16="http://schemas.microsoft.com/office/drawing/2014/main" id="{5A6C1912-C5B4-1EA8-A7F0-2415BF135A17}"/>
            </a:ext>
          </a:extLst>
        </xdr:cNvPr>
        <xdr:cNvSpPr>
          <a:spLocks noChangeArrowheads="1"/>
        </xdr:cNvSpPr>
      </xdr:nvSpPr>
      <xdr:spPr bwMode="auto">
        <a:xfrm>
          <a:off x="6162675" y="14411325"/>
          <a:ext cx="6286500" cy="895350"/>
        </a:xfrm>
        <a:prstGeom prst="rect">
          <a:avLst/>
        </a:prstGeom>
        <a:noFill/>
        <a:ln w="9525">
          <a:solidFill>
            <a:srgbClr val="000000"/>
          </a:solidFill>
          <a:miter lim="800000"/>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12</xdr:col>
      <xdr:colOff>146627</xdr:colOff>
      <xdr:row>2</xdr:row>
      <xdr:rowOff>19050</xdr:rowOff>
    </xdr:from>
    <xdr:to>
      <xdr:col>14</xdr:col>
      <xdr:colOff>706777</xdr:colOff>
      <xdr:row>2</xdr:row>
      <xdr:rowOff>219091</xdr:rowOff>
    </xdr:to>
    <xdr:sp macro="" textlink="">
      <xdr:nvSpPr>
        <xdr:cNvPr id="25346" name="Text Box 18">
          <a:extLst>
            <a:ext uri="{FF2B5EF4-FFF2-40B4-BE49-F238E27FC236}">
              <a16:creationId xmlns:a16="http://schemas.microsoft.com/office/drawing/2014/main" id="{8FECDA86-51F1-BCB2-32CD-83BD8B6BF3BC}"/>
            </a:ext>
          </a:extLst>
        </xdr:cNvPr>
        <xdr:cNvSpPr txBox="1">
          <a:spLocks noChangeArrowheads="1"/>
        </xdr:cNvSpPr>
      </xdr:nvSpPr>
      <xdr:spPr bwMode="auto">
        <a:xfrm>
          <a:off x="9385877" y="382732"/>
          <a:ext cx="1235559" cy="200041"/>
        </a:xfrm>
        <a:prstGeom prst="rect">
          <a:avLst/>
        </a:prstGeom>
        <a:solidFill>
          <a:schemeClr val="bg1">
            <a:lumMod val="95000"/>
          </a:schemeClr>
        </a:solidFill>
        <a:ln w="9525">
          <a:noFill/>
          <a:miter lim="800000"/>
          <a:headEnd/>
          <a:tailEnd/>
        </a:ln>
      </xdr:spPr>
      <xdr:txBody>
        <a:bodyPr vertOverflow="clip" wrap="square" lIns="27432" tIns="22860" rIns="0" bIns="0" anchor="t" upright="1"/>
        <a:lstStyle/>
        <a:p>
          <a:pPr algn="l" rtl="0">
            <a:defRPr sz="1000"/>
          </a:pPr>
          <a:r>
            <a:rPr lang="en-US" sz="1000" b="1" i="0" strike="noStrike">
              <a:solidFill>
                <a:srgbClr val="000000"/>
              </a:solidFill>
              <a:latin typeface="Arial"/>
              <a:cs typeface="Arial"/>
            </a:rPr>
            <a:t>Developed by:</a:t>
          </a:r>
        </a:p>
      </xdr:txBody>
    </xdr:sp>
    <xdr:clientData/>
  </xdr:twoCellAnchor>
  <xdr:twoCellAnchor>
    <xdr:from>
      <xdr:col>14</xdr:col>
      <xdr:colOff>555595</xdr:colOff>
      <xdr:row>1</xdr:row>
      <xdr:rowOff>24246</xdr:rowOff>
    </xdr:from>
    <xdr:to>
      <xdr:col>14</xdr:col>
      <xdr:colOff>1466851</xdr:colOff>
      <xdr:row>3</xdr:row>
      <xdr:rowOff>400050</xdr:rowOff>
    </xdr:to>
    <xdr:pic>
      <xdr:nvPicPr>
        <xdr:cNvPr id="164999" name="Picture 19">
          <a:hlinkClick xmlns:r="http://schemas.openxmlformats.org/officeDocument/2006/relationships" r:id="rId1"/>
          <a:extLst>
            <a:ext uri="{FF2B5EF4-FFF2-40B4-BE49-F238E27FC236}">
              <a16:creationId xmlns:a16="http://schemas.microsoft.com/office/drawing/2014/main" id="{0485D659-B921-2DC3-D28E-AB6EF524881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11375995" y="195696"/>
          <a:ext cx="911256" cy="890154"/>
        </a:xfrm>
        <a:prstGeom prst="rect">
          <a:avLst/>
        </a:prstGeom>
        <a:solidFill>
          <a:schemeClr val="bg1">
            <a:lumMod val="95000"/>
            <a:alpha val="0"/>
          </a:schemeClr>
        </a:solidFill>
      </xdr:spPr>
    </xdr:pic>
    <xdr:clientData/>
  </xdr:twoCellAnchor>
  <xdr:twoCellAnchor>
    <xdr:from>
      <xdr:col>3</xdr:col>
      <xdr:colOff>98136</xdr:colOff>
      <xdr:row>82</xdr:row>
      <xdr:rowOff>142876</xdr:rowOff>
    </xdr:from>
    <xdr:to>
      <xdr:col>6</xdr:col>
      <xdr:colOff>66675</xdr:colOff>
      <xdr:row>88</xdr:row>
      <xdr:rowOff>9525</xdr:rowOff>
    </xdr:to>
    <xdr:sp macro="" textlink="">
      <xdr:nvSpPr>
        <xdr:cNvPr id="1041" name="TextBox 20">
          <a:extLst>
            <a:ext uri="{FF2B5EF4-FFF2-40B4-BE49-F238E27FC236}">
              <a16:creationId xmlns:a16="http://schemas.microsoft.com/office/drawing/2014/main" id="{32B4A905-45E8-AA03-6D33-C1F7A23D2405}"/>
            </a:ext>
          </a:extLst>
        </xdr:cNvPr>
        <xdr:cNvSpPr txBox="1">
          <a:spLocks noChangeArrowheads="1"/>
        </xdr:cNvSpPr>
      </xdr:nvSpPr>
      <xdr:spPr bwMode="auto">
        <a:xfrm>
          <a:off x="526761" y="14401801"/>
          <a:ext cx="5140614" cy="923924"/>
        </a:xfrm>
        <a:prstGeom prst="rect">
          <a:avLst/>
        </a:prstGeom>
        <a:solidFill>
          <a:srgbClr val="FFFFFF"/>
        </a:solidFill>
        <a:ln w="9525">
          <a:solidFill>
            <a:srgbClr val="BCBCBC"/>
          </a:solidFill>
          <a:miter lim="800000"/>
          <a:headEnd/>
          <a:tailEnd/>
        </a:ln>
      </xdr:spPr>
      <xdr:txBody>
        <a:bodyPr vertOverflow="clip" wrap="square" lIns="91440" tIns="45720" rIns="91440" bIns="45720" anchor="t" upright="1"/>
        <a:lstStyle/>
        <a:p>
          <a:pPr algn="l" rtl="0">
            <a:defRPr sz="1000"/>
          </a:pPr>
          <a:r>
            <a:rPr lang="en-US" sz="800" b="0" i="0" u="none" strike="noStrike" baseline="0">
              <a:solidFill>
                <a:srgbClr val="000000"/>
              </a:solidFill>
              <a:latin typeface="Times New Roman"/>
              <a:cs typeface="Times New Roman"/>
            </a:rPr>
            <a:t>Disclaimer: </a:t>
          </a:r>
          <a:r>
            <a:rPr lang="en-US" sz="800" b="0" i="1" u="none" strike="noStrike" baseline="0">
              <a:solidFill>
                <a:srgbClr val="000000"/>
              </a:solidFill>
              <a:latin typeface="Times New Roman"/>
              <a:cs typeface="Times New Roman"/>
            </a:rPr>
            <a:t>This calculator was prepared for work sponsored by the Energy Solutions Center Inc. Neither The Energy Solutions Center, any member of The Energy Solutions Center, nor any person on behalf of any or all of them:</a:t>
          </a:r>
          <a:endParaRPr lang="en-US" sz="800" b="0" i="0" u="none" strike="noStrike" baseline="0">
            <a:solidFill>
              <a:srgbClr val="000000"/>
            </a:solidFill>
            <a:latin typeface="Times New Roman"/>
            <a:cs typeface="Times New Roman"/>
          </a:endParaRPr>
        </a:p>
        <a:p>
          <a:pPr algn="l" rtl="0">
            <a:defRPr sz="1000"/>
          </a:pPr>
          <a:r>
            <a:rPr lang="en-US" sz="800" b="0" i="1" u="none" strike="noStrike" baseline="0">
              <a:solidFill>
                <a:srgbClr val="000000"/>
              </a:solidFill>
              <a:latin typeface="Times New Roman"/>
              <a:cs typeface="Times New Roman"/>
            </a:rPr>
            <a:t>a. Makes any warranty or representation, express or implied, with respect to the accuracy, completeness, or usefulness of the information contained in this application or report, or</a:t>
          </a:r>
          <a:endParaRPr lang="en-US" sz="800" b="0" i="0" u="none" strike="noStrike" baseline="0">
            <a:solidFill>
              <a:srgbClr val="000000"/>
            </a:solidFill>
            <a:latin typeface="Times New Roman"/>
            <a:cs typeface="Times New Roman"/>
          </a:endParaRPr>
        </a:p>
        <a:p>
          <a:pPr algn="l" rtl="0">
            <a:defRPr sz="1000"/>
          </a:pPr>
          <a:r>
            <a:rPr lang="en-US" sz="800" b="0" i="1" u="none" strike="noStrike" baseline="0">
              <a:solidFill>
                <a:srgbClr val="000000"/>
              </a:solidFill>
              <a:latin typeface="Times New Roman"/>
              <a:cs typeface="Times New Roman"/>
            </a:rPr>
            <a:t>b. Assumes any liability with respect to the use of or for damages resulting from the use of any information disclosed in this application or report.</a:t>
          </a:r>
          <a:endParaRPr lang="en-US" sz="800" b="0" i="0" u="none" strike="noStrike" baseline="0">
            <a:solidFill>
              <a:srgbClr val="000000"/>
            </a:solidFill>
            <a:latin typeface="Times New Roman"/>
            <a:cs typeface="Times New Roman"/>
          </a:endParaRPr>
        </a:p>
      </xdr:txBody>
    </xdr:sp>
    <xdr:clientData/>
  </xdr:twoCellAnchor>
  <xdr:twoCellAnchor>
    <xdr:from>
      <xdr:col>8</xdr:col>
      <xdr:colOff>467879</xdr:colOff>
      <xdr:row>15</xdr:row>
      <xdr:rowOff>11256</xdr:rowOff>
    </xdr:from>
    <xdr:to>
      <xdr:col>15</xdr:col>
      <xdr:colOff>837910</xdr:colOff>
      <xdr:row>33</xdr:row>
      <xdr:rowOff>45893</xdr:rowOff>
    </xdr:to>
    <xdr:graphicFrame macro="">
      <xdr:nvGraphicFramePr>
        <xdr:cNvPr id="3" name="Chart 2">
          <a:extLst>
            <a:ext uri="{FF2B5EF4-FFF2-40B4-BE49-F238E27FC236}">
              <a16:creationId xmlns:a16="http://schemas.microsoft.com/office/drawing/2014/main" id="{808F1253-9F87-4774-AA85-005F7052266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8</xdr:col>
      <xdr:colOff>477405</xdr:colOff>
      <xdr:row>51</xdr:row>
      <xdr:rowOff>37811</xdr:rowOff>
    </xdr:from>
    <xdr:to>
      <xdr:col>15</xdr:col>
      <xdr:colOff>837912</xdr:colOff>
      <xdr:row>64</xdr:row>
      <xdr:rowOff>55707</xdr:rowOff>
    </xdr:to>
    <xdr:graphicFrame macro="">
      <xdr:nvGraphicFramePr>
        <xdr:cNvPr id="5" name="Chart 4">
          <a:extLst>
            <a:ext uri="{FF2B5EF4-FFF2-40B4-BE49-F238E27FC236}">
              <a16:creationId xmlns:a16="http://schemas.microsoft.com/office/drawing/2014/main" id="{E3628DCD-57A8-498E-91E3-098C9C20173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8</xdr:col>
      <xdr:colOff>467880</xdr:colOff>
      <xdr:row>33</xdr:row>
      <xdr:rowOff>152689</xdr:rowOff>
    </xdr:from>
    <xdr:to>
      <xdr:col>15</xdr:col>
      <xdr:colOff>841087</xdr:colOff>
      <xdr:row>50</xdr:row>
      <xdr:rowOff>95827</xdr:rowOff>
    </xdr:to>
    <xdr:graphicFrame macro="">
      <xdr:nvGraphicFramePr>
        <xdr:cNvPr id="7" name="Chart 6">
          <a:extLst>
            <a:ext uri="{FF2B5EF4-FFF2-40B4-BE49-F238E27FC236}">
              <a16:creationId xmlns:a16="http://schemas.microsoft.com/office/drawing/2014/main" id="{21E6B07C-4A32-45A5-AB3E-13C308F0994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8</xdr:col>
      <xdr:colOff>9525</xdr:colOff>
      <xdr:row>1</xdr:row>
      <xdr:rowOff>66675</xdr:rowOff>
    </xdr:from>
    <xdr:to>
      <xdr:col>9</xdr:col>
      <xdr:colOff>581025</xdr:colOff>
      <xdr:row>3</xdr:row>
      <xdr:rowOff>275070</xdr:rowOff>
    </xdr:to>
    <xdr:pic>
      <xdr:nvPicPr>
        <xdr:cNvPr id="2" name="Picture 17">
          <a:hlinkClick xmlns:r="http://schemas.openxmlformats.org/officeDocument/2006/relationships" r:id="rId6"/>
          <a:extLst>
            <a:ext uri="{FF2B5EF4-FFF2-40B4-BE49-F238E27FC236}">
              <a16:creationId xmlns:a16="http://schemas.microsoft.com/office/drawing/2014/main" id="{BE3211AB-DEAE-4D3E-B7E2-E66986DA0923}"/>
            </a:ext>
          </a:extLst>
        </xdr:cNvPr>
        <xdr:cNvPicPr>
          <a:picLocks noChangeAspect="1" noChangeArrowheads="1"/>
        </xdr:cNvPicPr>
      </xdr:nvPicPr>
      <xdr:blipFill>
        <a:blip xmlns:r="http://schemas.openxmlformats.org/officeDocument/2006/relationships" r:embed="rId7" cstate="print">
          <a:clrChange>
            <a:clrFrom>
              <a:srgbClr val="FEFEFE"/>
            </a:clrFrom>
            <a:clrTo>
              <a:srgbClr val="FEFEFE">
                <a:alpha val="0"/>
              </a:srgbClr>
            </a:clrTo>
          </a:clrChange>
          <a:extLst>
            <a:ext uri="{28A0092B-C50C-407E-A947-70E740481C1C}">
              <a14:useLocalDpi xmlns:a14="http://schemas.microsoft.com/office/drawing/2010/main" val="0"/>
            </a:ext>
          </a:extLst>
        </a:blip>
        <a:srcRect/>
        <a:stretch/>
      </xdr:blipFill>
      <xdr:spPr bwMode="auto">
        <a:xfrm>
          <a:off x="6419850" y="238125"/>
          <a:ext cx="2124075" cy="7227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1387475</xdr:colOff>
      <xdr:row>136</xdr:row>
      <xdr:rowOff>6350</xdr:rowOff>
    </xdr:from>
    <xdr:to>
      <xdr:col>2</xdr:col>
      <xdr:colOff>2038350</xdr:colOff>
      <xdr:row>153</xdr:row>
      <xdr:rowOff>0</xdr:rowOff>
    </xdr:to>
    <xdr:graphicFrame macro="">
      <xdr:nvGraphicFramePr>
        <xdr:cNvPr id="3" name="Chart 2">
          <a:extLst>
            <a:ext uri="{FF2B5EF4-FFF2-40B4-BE49-F238E27FC236}">
              <a16:creationId xmlns:a16="http://schemas.microsoft.com/office/drawing/2014/main" id="{E74AA876-8EBA-2C7A-6B7A-0B779CBB2DD9}"/>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1368425</xdr:colOff>
      <xdr:row>154</xdr:row>
      <xdr:rowOff>111125</xdr:rowOff>
    </xdr:from>
    <xdr:to>
      <xdr:col>2</xdr:col>
      <xdr:colOff>2019300</xdr:colOff>
      <xdr:row>171</xdr:row>
      <xdr:rowOff>101600</xdr:rowOff>
    </xdr:to>
    <xdr:graphicFrame macro="">
      <xdr:nvGraphicFramePr>
        <xdr:cNvPr id="4" name="Chart 3">
          <a:extLst>
            <a:ext uri="{FF2B5EF4-FFF2-40B4-BE49-F238E27FC236}">
              <a16:creationId xmlns:a16="http://schemas.microsoft.com/office/drawing/2014/main" id="{FB056EEA-F759-A578-64C0-30E78A13232E}"/>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5</xdr:col>
      <xdr:colOff>77787</xdr:colOff>
      <xdr:row>156</xdr:row>
      <xdr:rowOff>136525</xdr:rowOff>
    </xdr:from>
    <xdr:to>
      <xdr:col>7</xdr:col>
      <xdr:colOff>1620837</xdr:colOff>
      <xdr:row>173</xdr:row>
      <xdr:rowOff>130175</xdr:rowOff>
    </xdr:to>
    <xdr:graphicFrame macro="">
      <xdr:nvGraphicFramePr>
        <xdr:cNvPr id="5" name="Chart 4">
          <a:extLst>
            <a:ext uri="{FF2B5EF4-FFF2-40B4-BE49-F238E27FC236}">
              <a16:creationId xmlns:a16="http://schemas.microsoft.com/office/drawing/2014/main" id="{123F425E-2BC7-59C1-0351-31D30CE62A8D}"/>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0</xdr:col>
      <xdr:colOff>66675</xdr:colOff>
      <xdr:row>3</xdr:row>
      <xdr:rowOff>28574</xdr:rowOff>
    </xdr:from>
    <xdr:to>
      <xdr:col>13</xdr:col>
      <xdr:colOff>38100</xdr:colOff>
      <xdr:row>46</xdr:row>
      <xdr:rowOff>114300</xdr:rowOff>
    </xdr:to>
    <xdr:sp macro="" textlink="">
      <xdr:nvSpPr>
        <xdr:cNvPr id="2" name="TextBox 1">
          <a:extLst>
            <a:ext uri="{FF2B5EF4-FFF2-40B4-BE49-F238E27FC236}">
              <a16:creationId xmlns:a16="http://schemas.microsoft.com/office/drawing/2014/main" id="{CFE50C8B-61E4-D753-BD8E-0F2A84D5E65B}"/>
            </a:ext>
          </a:extLst>
        </xdr:cNvPr>
        <xdr:cNvSpPr txBox="1"/>
      </xdr:nvSpPr>
      <xdr:spPr>
        <a:xfrm>
          <a:off x="66675" y="542924"/>
          <a:ext cx="7896225" cy="704850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solidFill>
                <a:schemeClr val="dk1"/>
              </a:solidFill>
              <a:effectLst/>
              <a:latin typeface="+mn-lt"/>
              <a:ea typeface="+mn-ea"/>
              <a:cs typeface="+mn-cs"/>
            </a:rPr>
            <a:t>The Carbon Calculator utilizes industry standard and accepted practices, calculations, and factors to calculate the difference in NOx, SOx and CO2 for a standard home using natural gas for space heat, water heat, cooking, and clothes drying versus comparable electric, oil, propane, or gascounterparts.  The energy consumption for each appliance is calculated as follows:</a:t>
          </a:r>
          <a:endParaRPr lang="en-US">
            <a:effectLst/>
          </a:endParaRPr>
        </a:p>
        <a:p>
          <a:r>
            <a:rPr lang="en-US" sz="1100">
              <a:solidFill>
                <a:schemeClr val="dk1"/>
              </a:solidFill>
              <a:effectLst/>
              <a:latin typeface="+mn-lt"/>
              <a:ea typeface="+mn-ea"/>
              <a:cs typeface="+mn-cs"/>
            </a:rPr>
            <a:t> </a:t>
          </a:r>
          <a:endParaRPr lang="en-US">
            <a:effectLst/>
          </a:endParaRPr>
        </a:p>
        <a:p>
          <a:r>
            <a:rPr lang="en-US" sz="1100">
              <a:solidFill>
                <a:schemeClr val="dk1"/>
              </a:solidFill>
              <a:effectLst/>
              <a:latin typeface="+mn-lt"/>
              <a:ea typeface="+mn-ea"/>
              <a:cs typeface="+mn-cs"/>
            </a:rPr>
            <a:t>DOE2 simulation analyses were run for a typical home of 2000, 3000, and 4000 square feet for the 230 cities across the United States (using TMY2 weather data) to develop the amount of heat required to maintain the desired indoor temperature.  These heat loads are then used to calculate the energy requirements for the homes using natural gas fueled heating equipment – ranging from the lower efficiency “standard” systems to the high efficiency systems that are currently available today.   The energy required for electrically heating homes is calculated in a similar manner using the energy requirements for a range of electric systems – from lower efficiency strip heat to the standard and high efficiency heat pumps that are currently available for purchase.  For the heat pumps the energy required for the defrost cycles and the emergency back-up heat is also included – using the methodology developed and used by DOE in their tool </a:t>
          </a:r>
          <a:r>
            <a:rPr lang="en-US" sz="1100" b="1" i="1">
              <a:solidFill>
                <a:schemeClr val="dk1"/>
              </a:solidFill>
              <a:effectLst/>
              <a:latin typeface="+mn-lt"/>
              <a:ea typeface="+mn-ea"/>
              <a:cs typeface="+mn-cs"/>
            </a:rPr>
            <a:t> </a:t>
          </a:r>
          <a:r>
            <a:rPr lang="en-US" sz="1100" i="1">
              <a:solidFill>
                <a:schemeClr val="dk1"/>
              </a:solidFill>
              <a:effectLst/>
              <a:latin typeface="+mn-lt"/>
              <a:ea typeface="+mn-ea"/>
              <a:cs typeface="+mn-cs"/>
            </a:rPr>
            <a:t>heatcalc_Vsn-C_1-08.xls</a:t>
          </a:r>
          <a:r>
            <a:rPr lang="en-US" sz="1100" b="1" i="1">
              <a:solidFill>
                <a:schemeClr val="dk1"/>
              </a:solidFill>
              <a:effectLst/>
              <a:latin typeface="+mn-lt"/>
              <a:ea typeface="+mn-ea"/>
              <a:cs typeface="+mn-cs"/>
            </a:rPr>
            <a:t> </a:t>
          </a:r>
          <a:r>
            <a:rPr lang="en-US" sz="1100">
              <a:solidFill>
                <a:schemeClr val="dk1"/>
              </a:solidFill>
              <a:effectLst/>
              <a:latin typeface="+mn-lt"/>
              <a:ea typeface="+mn-ea"/>
              <a:cs typeface="+mn-cs"/>
            </a:rPr>
            <a:t>as well as ASHRAE procedures outlined in an article titled “Climate Impacts on Heating Seasonal Performance Factor (HSPF) and Seasonal Energy Efficiency Ratio (SEER) for Air Source Heat Pumps,"  Fairy, et al,  </a:t>
          </a:r>
          <a:r>
            <a:rPr lang="en-US" sz="1100" i="1">
              <a:solidFill>
                <a:schemeClr val="dk1"/>
              </a:solidFill>
              <a:effectLst/>
              <a:latin typeface="+mn-lt"/>
              <a:ea typeface="+mn-ea"/>
              <a:cs typeface="+mn-cs"/>
            </a:rPr>
            <a:t>ASHRAE Transactions</a:t>
          </a:r>
          <a:r>
            <a:rPr lang="en-US" sz="1100">
              <a:solidFill>
                <a:schemeClr val="dk1"/>
              </a:solidFill>
              <a:effectLst/>
              <a:latin typeface="+mn-lt"/>
              <a:ea typeface="+mn-ea"/>
              <a:cs typeface="+mn-cs"/>
            </a:rPr>
            <a:t>, American Society of Heating, Refrigerating and Air Conditioning Engineers, Inc., Atlanta, GA, June 2004.  </a:t>
          </a:r>
          <a:endParaRPr lang="en-US">
            <a:effectLst/>
          </a:endParaRPr>
        </a:p>
        <a:p>
          <a:r>
            <a:rPr lang="en-US" sz="1100">
              <a:solidFill>
                <a:schemeClr val="dk1"/>
              </a:solidFill>
              <a:effectLst/>
              <a:latin typeface="+mn-lt"/>
              <a:ea typeface="+mn-ea"/>
              <a:cs typeface="+mn-cs"/>
            </a:rPr>
            <a:t> </a:t>
          </a:r>
          <a:endParaRPr lang="en-US">
            <a:effectLst/>
          </a:endParaRPr>
        </a:p>
        <a:p>
          <a:r>
            <a:rPr lang="en-US" sz="1100">
              <a:solidFill>
                <a:schemeClr val="dk1"/>
              </a:solidFill>
              <a:effectLst/>
              <a:latin typeface="+mn-lt"/>
              <a:ea typeface="+mn-ea"/>
              <a:cs typeface="+mn-cs"/>
            </a:rPr>
            <a:t>Water heating energy consumption is calculated using the average energy input for water heating per DOE regional groupings of the states, which follow the US Census regions.  The northern areas with colder weather will require more energy due in large part to the incoming water temperature being colder.  Conversely, the southern areas will have lower energy consumption due to warmer weather which leads to warmer incoming water temperature.  The DOE data also includes the number of persons per average household in each census region, which allows us to add a factor to the calculation adjusting the energy requirements based on the number of persons per household.  From there we use the energy efficiencies for the various natural gas, propane, oil, andelectric water heaters currently on the market to calculate the energy requirements for water heating.</a:t>
          </a:r>
          <a:endParaRPr lang="en-US">
            <a:effectLst/>
          </a:endParaRPr>
        </a:p>
        <a:p>
          <a:r>
            <a:rPr lang="en-US" sz="1100">
              <a:solidFill>
                <a:schemeClr val="dk1"/>
              </a:solidFill>
              <a:effectLst/>
              <a:latin typeface="+mn-lt"/>
              <a:ea typeface="+mn-ea"/>
              <a:cs typeface="+mn-cs"/>
            </a:rPr>
            <a:t> </a:t>
          </a:r>
          <a:endParaRPr lang="en-US">
            <a:effectLst/>
          </a:endParaRPr>
        </a:p>
        <a:p>
          <a:r>
            <a:rPr lang="en-US" sz="1100">
              <a:solidFill>
                <a:schemeClr val="dk1"/>
              </a:solidFill>
              <a:effectLst/>
              <a:latin typeface="+mn-lt"/>
              <a:ea typeface="+mn-ea"/>
              <a:cs typeface="+mn-cs"/>
            </a:rPr>
            <a:t>Energy consumption of natural gas and electric cooktops are based on data from the Association of Home Appliance Manufacturers, (AHAM) </a:t>
          </a:r>
          <a:r>
            <a:rPr lang="en-US" sz="1100" i="1">
              <a:solidFill>
                <a:schemeClr val="dk1"/>
              </a:solidFill>
              <a:effectLst/>
              <a:latin typeface="+mn-lt"/>
              <a:ea typeface="+mn-ea"/>
              <a:cs typeface="+mn-cs"/>
            </a:rPr>
            <a:t>AHAM Data on Cooking Products for Efficiency Standards Rulemaking, August 23, 2006 </a:t>
          </a:r>
          <a:r>
            <a:rPr lang="en-US" sz="1100">
              <a:solidFill>
                <a:schemeClr val="dk1"/>
              </a:solidFill>
              <a:effectLst/>
              <a:latin typeface="+mn-lt"/>
              <a:ea typeface="+mn-ea"/>
              <a:cs typeface="+mn-cs"/>
            </a:rPr>
            <a:t>– A letter to DOE’s Building Technologies Program. </a:t>
          </a:r>
          <a:endParaRPr lang="en-US">
            <a:effectLst/>
          </a:endParaRPr>
        </a:p>
        <a:p>
          <a:r>
            <a:rPr lang="en-US" sz="1100" i="1">
              <a:solidFill>
                <a:schemeClr val="dk1"/>
              </a:solidFill>
              <a:effectLst/>
              <a:latin typeface="+mn-lt"/>
              <a:ea typeface="+mn-ea"/>
              <a:cs typeface="+mn-cs"/>
            </a:rPr>
            <a:t> </a:t>
          </a:r>
          <a:endParaRPr lang="en-US">
            <a:effectLst/>
          </a:endParaRPr>
        </a:p>
        <a:p>
          <a:r>
            <a:rPr lang="en-US" sz="1100">
              <a:solidFill>
                <a:schemeClr val="dk1"/>
              </a:solidFill>
              <a:effectLst/>
              <a:latin typeface="+mn-lt"/>
              <a:ea typeface="+mn-ea"/>
              <a:cs typeface="+mn-cs"/>
            </a:rPr>
            <a:t>Energy consumption for dryers was derived based on default efficiency ratings, number of loads per week, and load size, from the DOE National Appliance Energy Conservation Act (NAECA) test procedures.  See  “</a:t>
          </a:r>
          <a:r>
            <a:rPr lang="en-US" sz="1100" i="1">
              <a:solidFill>
                <a:schemeClr val="dk1"/>
              </a:solidFill>
              <a:effectLst/>
              <a:latin typeface="+mn-lt"/>
              <a:ea typeface="+mn-ea"/>
              <a:cs typeface="+mn-cs"/>
            </a:rPr>
            <a:t>Energy Data Sourcebook for the U.S. Residential Sector.”  Lawrence Berkley National Laboratory. 1997.  LBNL-40297</a:t>
          </a:r>
          <a:endParaRPr lang="en-US">
            <a:effectLst/>
          </a:endParaRPr>
        </a:p>
        <a:p>
          <a:r>
            <a:rPr lang="en-US" sz="1100">
              <a:solidFill>
                <a:schemeClr val="dk1"/>
              </a:solidFill>
              <a:effectLst/>
              <a:latin typeface="+mn-lt"/>
              <a:ea typeface="+mn-ea"/>
              <a:cs typeface="+mn-cs"/>
            </a:rPr>
            <a:t> </a:t>
          </a:r>
          <a:endParaRPr lang="en-US">
            <a:effectLst/>
          </a:endParaRPr>
        </a:p>
        <a:p>
          <a:r>
            <a:rPr lang="en-US" sz="1100">
              <a:solidFill>
                <a:schemeClr val="dk1"/>
              </a:solidFill>
              <a:effectLst/>
              <a:latin typeface="+mn-lt"/>
              <a:ea typeface="+mn-ea"/>
              <a:cs typeface="+mn-cs"/>
            </a:rPr>
            <a:t>The emissions for natural gas, oil, and propane appliances are based on the emissions direct from the fuel type. appliances in the home, using emissions factors as specified in EPA’s </a:t>
          </a:r>
          <a:r>
            <a:rPr lang="en-US" sz="1100" i="1">
              <a:solidFill>
                <a:schemeClr val="dk1"/>
              </a:solidFill>
              <a:effectLst/>
              <a:latin typeface="+mn-lt"/>
              <a:ea typeface="+mn-ea"/>
              <a:cs typeface="+mn-cs"/>
            </a:rPr>
            <a:t>Emission Factor Documentation for AP-42</a:t>
          </a:r>
          <a:r>
            <a:rPr lang="en-US" sz="1100">
              <a:solidFill>
                <a:schemeClr val="dk1"/>
              </a:solidFill>
              <a:effectLst/>
              <a:latin typeface="+mn-lt"/>
              <a:ea typeface="+mn-ea"/>
              <a:cs typeface="+mn-cs"/>
            </a:rPr>
            <a:t>.  For the electric appliances the emissions are based on the pounds of pollutants per MWH from the electric power generation plants – since they are the source of emissions into the environment for the electric power system.  EPA’s eGRID database is the most complete source of the emissions from electric power plants and was used to develop the emissions per MWH factors from power plants in each of the 50 states.  </a:t>
          </a:r>
          <a:endParaRPr lang="en-US">
            <a:effectLst/>
          </a:endParaRPr>
        </a:p>
        <a:p>
          <a:r>
            <a:rPr lang="en-US" sz="1100">
              <a:solidFill>
                <a:schemeClr val="dk1"/>
              </a:solidFill>
              <a:effectLst/>
              <a:latin typeface="+mn-lt"/>
              <a:ea typeface="+mn-ea"/>
              <a:cs typeface="+mn-cs"/>
            </a:rPr>
            <a:t> </a:t>
          </a:r>
          <a:endParaRPr lang="en-US">
            <a:effectLst/>
          </a:endParaRPr>
        </a:p>
        <a:p>
          <a:r>
            <a:rPr lang="en-US" sz="1100">
              <a:solidFill>
                <a:schemeClr val="dk1"/>
              </a:solidFill>
              <a:effectLst/>
              <a:latin typeface="+mn-lt"/>
              <a:ea typeface="+mn-ea"/>
              <a:cs typeface="+mn-cs"/>
            </a:rPr>
            <a:t>Equivalent numbers of Vehicles and forest are derived from EPA’s equivalencies calculator. Passenger vehicles on average produce 400 grams or 0.88 pounds of CO2 per mile driven.  At an average of 22.2 miles per gallon and 11,500 miles driven per year, a car will emit 4.6 metric tons of CO2 annually.  1 metric ton of CO2 is equal to 1 acre of U.S. forest. </a:t>
          </a:r>
          <a:endParaRPr lang="en-US">
            <a:effectLst/>
          </a:endParaRPr>
        </a:p>
        <a:p>
          <a:endParaRPr lang="en-US" sz="1100"/>
        </a:p>
      </xdr:txBody>
    </xdr:sp>
    <xdr:clientData/>
  </xdr:twoCellAnchor>
</xdr:wsDr>
</file>

<file path=xl/persons/person.xml><?xml version="1.0" encoding="utf-8"?>
<personList xmlns="http://schemas.microsoft.com/office/spreadsheetml/2018/threadedcomments" xmlns:x="http://schemas.openxmlformats.org/spreadsheetml/2006/main">
  <person displayName="Farrier, Gabe" id="{B9C5DDD0-55EA-4B62-9A55-24A7F66DF6F4}" userId="S::61382@icf.com::e30d9ddd-34dd-4682-8130-28f7a0149b43" providerId="AD"/>
</personList>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C98" dT="2025-10-10T15:48:34.10" personId="{B9C5DDD0-55EA-4B62-9A55-24A7F66DF6F4}" id="{EF868A8F-D66E-4B7D-AB79-CFA2AD0932FC}">
    <text>Now eGrid subregion or Canadian Province</text>
  </threadedComment>
</ThreadedComments>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8" Type="http://schemas.openxmlformats.org/officeDocument/2006/relationships/hyperlink" Target="https://www.aosmithatlowes.com/products/water-heaters/electric-water-heaters/hpv10-80h01dv/" TargetMode="External"/><Relationship Id="rId13" Type="http://schemas.openxmlformats.org/officeDocument/2006/relationships/hyperlink" Target="https://www.aosmithatlowes.com/products/water-heaters/gas-tankless/gt15-510c-i/" TargetMode="External"/><Relationship Id="rId3" Type="http://schemas.openxmlformats.org/officeDocument/2006/relationships/hyperlink" Target="http://www.lennox.com/products/heat-pumps/XP25/" TargetMode="External"/><Relationship Id="rId7" Type="http://schemas.openxmlformats.org/officeDocument/2006/relationships/hyperlink" Target="https://www.aosmithatlowes.com/products/water-heaters/electric-tankless/r4mr-320e/" TargetMode="External"/><Relationship Id="rId12" Type="http://schemas.openxmlformats.org/officeDocument/2006/relationships/hyperlink" Target="https://www.aosmithatlowes.com/products/water-heaters/gas-water-heaters/gc9-ps4050nv/" TargetMode="External"/><Relationship Id="rId2" Type="http://schemas.openxmlformats.org/officeDocument/2006/relationships/hyperlink" Target="http://www.rheem.com/products/heating_and_cooling/heat_pumps/" TargetMode="External"/><Relationship Id="rId1" Type="http://schemas.openxmlformats.org/officeDocument/2006/relationships/hyperlink" Target="http://www.horizonservicesinc.com/reference/tips-articles/ratings-explained" TargetMode="External"/><Relationship Id="rId6" Type="http://schemas.openxmlformats.org/officeDocument/2006/relationships/hyperlink" Target="https://www.aosmithatlowes.com/products/water-heaters/electric-water-heaters/eea12-40r55dvf/" TargetMode="External"/><Relationship Id="rId11" Type="http://schemas.openxmlformats.org/officeDocument/2006/relationships/hyperlink" Target="https://www.aosmithatlowes.com/products/water-heaters/gas-water-heaters/g12-cadt4040nv/" TargetMode="External"/><Relationship Id="rId5" Type="http://schemas.openxmlformats.org/officeDocument/2006/relationships/hyperlink" Target="https://www.aosmithatlowes.com/products/water-heaters/electric-water-heaters/e6-40r38d-ttp/" TargetMode="External"/><Relationship Id="rId10" Type="http://schemas.openxmlformats.org/officeDocument/2006/relationships/hyperlink" Target="https://www.aosmithatlowes.com/products/water-heaters/gas-water-heaters/g6-pvt4050pv/" TargetMode="External"/><Relationship Id="rId4" Type="http://schemas.openxmlformats.org/officeDocument/2006/relationships/hyperlink" Target="http://www.lennox.com/products/heat-pumps/XP13/" TargetMode="External"/><Relationship Id="rId9" Type="http://schemas.openxmlformats.org/officeDocument/2006/relationships/hyperlink" Target="https://www.aosmithatlowes.com/products/water-heaters/gas-water-heaters/g6-dvs4038nvl/" TargetMode="External"/><Relationship Id="rId14" Type="http://schemas.openxmlformats.org/officeDocument/2006/relationships/hyperlink" Target="https://www.aosmithatlowes.com/products/water-heaters/gas-tankless/gt15thr-199x3/" TargetMode="Externa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8.xml.rels><?xml version="1.0" encoding="UTF-8" standalone="yes"?>
<Relationships xmlns="http://schemas.openxmlformats.org/package/2006/relationships"><Relationship Id="rId8" Type="http://schemas.openxmlformats.org/officeDocument/2006/relationships/hyperlink" Target="https://oee.nrcan.gc.ca/corporate/statistics/neud/dpa/showTable.cfm?type=HB&amp;sector=res&amp;juris=00&amp;rn=18&amp;page=0" TargetMode="External"/><Relationship Id="rId3" Type="http://schemas.openxmlformats.org/officeDocument/2006/relationships/hyperlink" Target="https://www.eia.gov/electricity/data.php" TargetMode="External"/><Relationship Id="rId7" Type="http://schemas.openxmlformats.org/officeDocument/2006/relationships/hyperlink" Target="https://www2.nrcan-rncan.gc.ca/eneene/sources/pripri/prices_bycity_e.cfm?productID=6&amp;locationID=66&amp;frequency=M&amp;priceYear=2024&amp;Redisplay=" TargetMode="External"/><Relationship Id="rId2" Type="http://schemas.openxmlformats.org/officeDocument/2006/relationships/hyperlink" Target="https://www.energyhub.org/electricity-prices/" TargetMode="External"/><Relationship Id="rId1" Type="http://schemas.openxmlformats.org/officeDocument/2006/relationships/hyperlink" Target="https://www.eia.gov/dnav/ng/ng_pri_sum_a_EPG0_PRS_DMcf_a.htm" TargetMode="External"/><Relationship Id="rId6" Type="http://schemas.openxmlformats.org/officeDocument/2006/relationships/hyperlink" Target="https://www2.nrcan.gc.ca/eneene/sources/pripri/prices_bycity_e.cfm?productID=7&amp;locationID=66&amp;locationID=8&amp;locationID=29&amp;frequency=W&amp;priceYear=2024&amp;Redisplay=" TargetMode="External"/><Relationship Id="rId5" Type="http://schemas.openxmlformats.org/officeDocument/2006/relationships/hyperlink" Target="https://www.eia.gov/dnav/pet/pet_pri_wfr_a_EPD2F_prs_dpgal_w.htm" TargetMode="External"/><Relationship Id="rId4" Type="http://schemas.openxmlformats.org/officeDocument/2006/relationships/hyperlink" Target="https://www.eia.gov/dnav/pet/pet_pri_wfr_a_EPLLPA_PRS_dpgal_w.htm" TargetMode="External"/><Relationship Id="rId9" Type="http://schemas.openxmlformats.org/officeDocument/2006/relationships/printerSettings" Target="../printerSettings/printerSettings3.bin"/></Relationships>
</file>

<file path=xl/worksheets/_rels/sheet9.xml.rels><?xml version="1.0" encoding="UTF-8" standalone="yes"?>
<Relationships xmlns="http://schemas.openxmlformats.org/package/2006/relationships"><Relationship Id="rId8" Type="http://schemas.openxmlformats.org/officeDocument/2006/relationships/hyperlink" Target="http://www.epa.gov/ttn/chief/ap42/ch01/bgdocs/b01s03.pdf" TargetMode="External"/><Relationship Id="rId13" Type="http://schemas.openxmlformats.org/officeDocument/2006/relationships/hyperlink" Target="http://www.epa.gov/ttn/chief/ap42/ch01/final/c01s05.pdf" TargetMode="External"/><Relationship Id="rId18" Type="http://schemas.openxmlformats.org/officeDocument/2006/relationships/hyperlink" Target="http://www.ec.gc.ca/inrp-npri/default.asp?lang=en&amp;n=0EC58C98-" TargetMode="External"/><Relationship Id="rId3" Type="http://schemas.openxmlformats.org/officeDocument/2006/relationships/hyperlink" Target="http://www.epa.gov/ttn/chief/ap42/ch01/final/c01s04.pdf" TargetMode="External"/><Relationship Id="rId21" Type="http://schemas.openxmlformats.org/officeDocument/2006/relationships/hyperlink" Target="https://www.epa.gov/energy/emissions-generation-resource-integrated-database-egrid" TargetMode="External"/><Relationship Id="rId7" Type="http://schemas.openxmlformats.org/officeDocument/2006/relationships/hyperlink" Target="http://www.epa.gov/ttn/chief/ap42/ch01/bgdocs/b01s03.pdf" TargetMode="External"/><Relationship Id="rId12" Type="http://schemas.openxmlformats.org/officeDocument/2006/relationships/hyperlink" Target="http://www.epa.gov/ttn/chief/ap42/ch01/final/c01s05.pdf" TargetMode="External"/><Relationship Id="rId17" Type="http://schemas.openxmlformats.org/officeDocument/2006/relationships/hyperlink" Target="http://www.ec.gc.ca/inrp-npri/default.asp?lang=en&amp;n=0EC58C98-" TargetMode="External"/><Relationship Id="rId2" Type="http://schemas.openxmlformats.org/officeDocument/2006/relationships/hyperlink" Target="http://www.epa.gov/ttn/chief/ap42/ch01/final/c01s04.pdf" TargetMode="External"/><Relationship Id="rId16" Type="http://schemas.openxmlformats.org/officeDocument/2006/relationships/hyperlink" Target="http://www.eia.gov/tools/faqs/faq.cfm?id=105&amp;t=3" TargetMode="External"/><Relationship Id="rId20" Type="http://schemas.openxmlformats.org/officeDocument/2006/relationships/hyperlink" Target="https://data.ec.gc.ca/data/substances/monitor/canada-s-official-greenhouse-gas-inventory/C-Tables-Electricity-Canada-Provinces-Territories/EN_Electricity_Can_Prov_Terr.xlsx" TargetMode="External"/><Relationship Id="rId1" Type="http://schemas.openxmlformats.org/officeDocument/2006/relationships/hyperlink" Target="http://www.epa.gov/ttn/chief/ap42/ch01/final/c01s04.pdf" TargetMode="External"/><Relationship Id="rId6" Type="http://schemas.openxmlformats.org/officeDocument/2006/relationships/hyperlink" Target="https://www.epa.gov/energy/ghg-equivalencies-calculator-calculations-and-references" TargetMode="External"/><Relationship Id="rId11" Type="http://schemas.openxmlformats.org/officeDocument/2006/relationships/hyperlink" Target="http://www.epa.gov/ttn/chief/ap42/ch01/final/c01s05.pdf" TargetMode="External"/><Relationship Id="rId24" Type="http://schemas.microsoft.com/office/2017/10/relationships/threadedComment" Target="../threadedComments/threadedComment1.xml"/><Relationship Id="rId5" Type="http://schemas.openxmlformats.org/officeDocument/2006/relationships/hyperlink" Target="https://www.epa.gov/energy/ghg-equivalencies-calculator-calculations-and-references" TargetMode="External"/><Relationship Id="rId15" Type="http://schemas.openxmlformats.org/officeDocument/2006/relationships/hyperlink" Target="http://www.ec.gc.ca/inrp-npri/default.asp?lang=en&amp;n=0EC58C98-" TargetMode="External"/><Relationship Id="rId23" Type="http://schemas.openxmlformats.org/officeDocument/2006/relationships/comments" Target="../comments2.xml"/><Relationship Id="rId10" Type="http://schemas.openxmlformats.org/officeDocument/2006/relationships/hyperlink" Target="http://www.epa.gov/ttn/chief/ap42/ch01/final/c01s05.pdf" TargetMode="External"/><Relationship Id="rId19" Type="http://schemas.openxmlformats.org/officeDocument/2006/relationships/hyperlink" Target="https://data.ec.gc.ca/data/substances/monitor/canada-s-official-greenhouse-gas-inventory/C-Tables-Electricity-Canada-Provinces-Territories/?lang=en" TargetMode="External"/><Relationship Id="rId4" Type="http://schemas.openxmlformats.org/officeDocument/2006/relationships/hyperlink" Target="http://www.epa.gov/ttn/chief/ap42/ch01/bgdocs/b01s04.pdf" TargetMode="External"/><Relationship Id="rId9" Type="http://schemas.openxmlformats.org/officeDocument/2006/relationships/hyperlink" Target="http://www.epa.gov/ttn/chief/ap42/ch01/bgdocs/b01s03.pdf" TargetMode="External"/><Relationship Id="rId14" Type="http://schemas.openxmlformats.org/officeDocument/2006/relationships/hyperlink" Target="http://www.epa.gov/ttn/chief/ap42/ch01/bgdocs/b01s03.pdf" TargetMode="External"/><Relationship Id="rId22" Type="http://schemas.openxmlformats.org/officeDocument/2006/relationships/vmlDrawing" Target="../drawings/vmlDrawing2.vml"/></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BEDB6C-8CF4-4565-AC82-FB58D7AAECB5}">
  <sheetPr codeName="Sheet1">
    <pageSetUpPr fitToPage="1"/>
  </sheetPr>
  <dimension ref="A1:DD102"/>
  <sheetViews>
    <sheetView tabSelected="1" zoomScaleNormal="100" workbookViewId="0">
      <selection activeCell="H19" sqref="H19"/>
    </sheetView>
  </sheetViews>
  <sheetFormatPr defaultColWidth="0" defaultRowHeight="12.75" zeroHeight="1" x14ac:dyDescent="0.2"/>
  <cols>
    <col min="1" max="1" width="2.28515625" style="527" customWidth="1"/>
    <col min="2" max="2" width="2.140625" style="529" customWidth="1"/>
    <col min="3" max="3" width="2" style="529" customWidth="1"/>
    <col min="4" max="4" width="3.7109375" style="529" customWidth="1"/>
    <col min="5" max="5" width="48.85546875" style="529" customWidth="1"/>
    <col min="6" max="6" width="25" style="529" customWidth="1"/>
    <col min="7" max="7" width="10.28515625" style="529" customWidth="1"/>
    <col min="8" max="8" width="1.85546875" style="529" customWidth="1"/>
    <col min="9" max="9" width="23.28515625" style="529" customWidth="1"/>
    <col min="10" max="10" width="10.42578125" style="529" customWidth="1"/>
    <col min="11" max="11" width="2.140625" style="529" customWidth="1"/>
    <col min="12" max="12" width="20" style="529" customWidth="1"/>
    <col min="13" max="13" width="6" style="529" customWidth="1"/>
    <col min="14" max="14" width="4.28515625" style="529" customWidth="1"/>
    <col min="15" max="15" width="24.140625" style="529" customWidth="1"/>
    <col min="16" max="16" width="14.85546875" style="529" customWidth="1"/>
    <col min="17" max="17" width="2.5703125" style="527" customWidth="1"/>
    <col min="18" max="18" width="11.7109375" style="527" hidden="1" customWidth="1"/>
    <col min="19" max="51" width="0" style="527" hidden="1" customWidth="1"/>
    <col min="52" max="108" width="0" style="529" hidden="1" customWidth="1"/>
    <col min="109" max="16384" width="11.7109375" style="529" hidden="1"/>
  </cols>
  <sheetData>
    <row r="1" spans="1:108" s="527" customFormat="1" ht="13.5" thickBot="1" x14ac:dyDescent="0.25"/>
    <row r="2" spans="1:108" customFormat="1" ht="15.6" customHeight="1" x14ac:dyDescent="0.2">
      <c r="A2" s="527"/>
      <c r="B2" s="539"/>
      <c r="C2" s="540"/>
      <c r="D2" s="540"/>
      <c r="E2" s="540"/>
      <c r="F2" s="540"/>
      <c r="G2" s="540"/>
      <c r="H2" s="540"/>
      <c r="I2" s="540"/>
      <c r="J2" s="540"/>
      <c r="K2" s="540"/>
      <c r="L2" s="540"/>
      <c r="M2" s="540"/>
      <c r="N2" s="540"/>
      <c r="O2" s="540"/>
      <c r="P2" s="541"/>
      <c r="Q2" s="527"/>
      <c r="R2" s="527"/>
      <c r="Z2" s="527"/>
      <c r="AA2" s="527"/>
      <c r="AB2" s="527"/>
      <c r="AC2" s="527"/>
      <c r="AD2" s="527"/>
      <c r="AE2" s="527"/>
      <c r="AF2" s="527"/>
      <c r="AG2" s="527"/>
      <c r="AH2" s="527"/>
      <c r="AI2" s="527"/>
      <c r="AJ2" s="527"/>
      <c r="AK2" s="527"/>
      <c r="AL2" s="527"/>
      <c r="AM2" s="527"/>
      <c r="AN2" s="527"/>
      <c r="AO2" s="527"/>
      <c r="AP2" s="527"/>
      <c r="AQ2" s="527"/>
      <c r="AR2" s="527"/>
      <c r="AS2" s="527"/>
      <c r="AT2" s="527"/>
      <c r="CG2" s="527"/>
      <c r="CH2" s="527"/>
      <c r="CI2" s="527"/>
      <c r="CJ2" s="527"/>
      <c r="CK2" s="527"/>
      <c r="CL2" s="527"/>
      <c r="CM2" s="527"/>
      <c r="CN2" s="527"/>
      <c r="CO2" s="527"/>
      <c r="CP2" s="527"/>
      <c r="CQ2" s="527"/>
      <c r="CR2" s="527"/>
      <c r="CS2" s="527"/>
      <c r="CT2" s="527"/>
      <c r="CU2" s="527"/>
      <c r="CV2" s="527"/>
      <c r="CW2" s="527"/>
      <c r="CX2" s="527"/>
      <c r="CY2" s="527"/>
      <c r="CZ2" s="527"/>
      <c r="DA2" s="527"/>
      <c r="DB2" s="527"/>
      <c r="DC2" s="527"/>
      <c r="DD2" s="527"/>
    </row>
    <row r="3" spans="1:108" customFormat="1" ht="25.5" x14ac:dyDescent="0.35">
      <c r="A3" s="527"/>
      <c r="B3" s="530"/>
      <c r="C3" s="334"/>
      <c r="D3" s="542" t="s">
        <v>0</v>
      </c>
      <c r="E3" s="543"/>
      <c r="F3" s="544"/>
      <c r="G3" s="334"/>
      <c r="H3" s="334"/>
      <c r="I3" s="334"/>
      <c r="J3" s="334"/>
      <c r="K3" s="334"/>
      <c r="L3" s="334"/>
      <c r="M3" s="334"/>
      <c r="N3" s="334"/>
      <c r="O3" s="334"/>
      <c r="P3" s="327"/>
      <c r="Q3" s="527"/>
      <c r="R3" s="527"/>
      <c r="Z3" s="527"/>
      <c r="AA3" s="527"/>
      <c r="AB3" s="527"/>
      <c r="AC3" s="527"/>
      <c r="AD3" s="527"/>
      <c r="AE3" s="527"/>
      <c r="AF3" s="527"/>
      <c r="AG3" s="527"/>
      <c r="AH3" s="527"/>
      <c r="AI3" s="527"/>
      <c r="AJ3" s="527"/>
      <c r="AK3" s="527"/>
      <c r="AL3" s="527"/>
      <c r="AM3" s="527"/>
      <c r="AN3" s="527"/>
      <c r="AO3" s="527"/>
      <c r="AP3" s="527"/>
      <c r="AQ3" s="527"/>
      <c r="AR3" s="527"/>
      <c r="AS3" s="527"/>
      <c r="AT3" s="527"/>
      <c r="CG3" s="527"/>
      <c r="CH3" s="527"/>
      <c r="CI3" s="527"/>
      <c r="CJ3" s="527"/>
      <c r="CK3" s="527"/>
      <c r="CL3" s="527"/>
      <c r="CM3" s="527"/>
      <c r="CN3" s="527"/>
      <c r="CO3" s="527"/>
      <c r="CP3" s="527"/>
      <c r="CQ3" s="527"/>
      <c r="CR3" s="527"/>
      <c r="CS3" s="527"/>
      <c r="CT3" s="527"/>
      <c r="CU3" s="527"/>
      <c r="CV3" s="527"/>
      <c r="CW3" s="527"/>
      <c r="CX3" s="527"/>
      <c r="CY3" s="527"/>
      <c r="CZ3" s="527"/>
      <c r="DA3" s="527"/>
      <c r="DB3" s="527"/>
      <c r="DC3" s="527"/>
      <c r="DD3" s="527"/>
    </row>
    <row r="4" spans="1:108" customFormat="1" ht="45.75" customHeight="1" x14ac:dyDescent="0.35">
      <c r="A4" s="527"/>
      <c r="B4" s="530"/>
      <c r="C4" s="334"/>
      <c r="D4" s="334"/>
      <c r="E4" s="334"/>
      <c r="F4" s="544"/>
      <c r="G4" s="334"/>
      <c r="H4" s="334"/>
      <c r="I4" s="334"/>
      <c r="J4" s="334"/>
      <c r="K4" s="334"/>
      <c r="L4" s="334"/>
      <c r="M4" s="334"/>
      <c r="N4" s="334"/>
      <c r="O4" s="334"/>
      <c r="P4" s="327"/>
      <c r="Q4" s="527"/>
      <c r="R4" s="527"/>
      <c r="Z4" s="527"/>
      <c r="AA4" s="527"/>
      <c r="AB4" s="527"/>
      <c r="AC4" s="527"/>
      <c r="AD4" s="527"/>
      <c r="AE4" s="527"/>
      <c r="AF4" s="527"/>
      <c r="AG4" s="527"/>
      <c r="AH4" s="527"/>
      <c r="AI4" s="527"/>
      <c r="AJ4" s="527"/>
      <c r="AK4" s="527"/>
      <c r="AL4" s="527"/>
      <c r="AM4" s="527"/>
      <c r="AN4" s="527"/>
      <c r="AO4" s="527"/>
      <c r="AP4" s="527"/>
      <c r="AQ4" s="527"/>
      <c r="AR4" s="527"/>
      <c r="AS4" s="527"/>
      <c r="AT4" s="527"/>
      <c r="CG4" s="527"/>
      <c r="CH4" s="527"/>
      <c r="CI4" s="527"/>
      <c r="CJ4" s="527"/>
      <c r="CK4" s="527"/>
      <c r="CL4" s="527"/>
      <c r="CM4" s="527"/>
      <c r="CN4" s="527"/>
      <c r="CO4" s="527"/>
      <c r="CP4" s="527"/>
      <c r="CQ4" s="527"/>
      <c r="CR4" s="527"/>
      <c r="CS4" s="527"/>
      <c r="CT4" s="527"/>
      <c r="CU4" s="527"/>
      <c r="CV4" s="527"/>
      <c r="CW4" s="527"/>
      <c r="CX4" s="527"/>
      <c r="CY4" s="527"/>
      <c r="CZ4" s="527"/>
      <c r="DA4" s="527"/>
      <c r="DB4" s="527"/>
      <c r="DC4" s="527"/>
      <c r="DD4" s="527"/>
    </row>
    <row r="5" spans="1:108" customFormat="1" ht="18.75" x14ac:dyDescent="0.3">
      <c r="A5" s="527"/>
      <c r="B5" s="530"/>
      <c r="C5" s="531"/>
      <c r="D5" s="334"/>
      <c r="E5" s="335" t="s">
        <v>1</v>
      </c>
      <c r="F5" s="1" t="s">
        <v>85</v>
      </c>
      <c r="G5" s="334"/>
      <c r="H5" s="334"/>
      <c r="I5" s="334"/>
      <c r="J5" s="341"/>
      <c r="K5" s="341"/>
      <c r="L5" s="334"/>
      <c r="M5" s="334"/>
      <c r="N5" s="334"/>
      <c r="O5" s="545" t="s">
        <v>2</v>
      </c>
      <c r="P5" s="327"/>
      <c r="Q5" s="527"/>
      <c r="R5" s="527"/>
      <c r="S5" s="334">
        <f>IFERROR(MATCH(F5,list_States,0),1)</f>
        <v>1</v>
      </c>
      <c r="Z5" s="527"/>
      <c r="AA5" s="527"/>
      <c r="AB5" s="527"/>
      <c r="AC5" s="527"/>
      <c r="AD5" s="527"/>
      <c r="AE5" s="527"/>
      <c r="AF5" s="527"/>
      <c r="AG5" s="527"/>
      <c r="AH5" s="527"/>
      <c r="AI5" s="527"/>
      <c r="AJ5" s="527"/>
      <c r="AK5" s="527"/>
      <c r="AL5" s="527"/>
      <c r="AM5" s="527"/>
      <c r="AN5" s="527"/>
      <c r="AO5" s="527"/>
      <c r="AP5" s="527"/>
      <c r="AQ5" s="527"/>
      <c r="AR5" s="527"/>
      <c r="AS5" s="527"/>
      <c r="AT5" s="527"/>
      <c r="CG5" s="527"/>
      <c r="CH5" s="527"/>
      <c r="CI5" s="527"/>
      <c r="CJ5" s="527"/>
      <c r="CK5" s="527"/>
      <c r="CL5" s="527"/>
      <c r="CM5" s="527"/>
      <c r="CN5" s="527"/>
      <c r="CO5" s="527"/>
      <c r="CP5" s="527"/>
      <c r="CQ5" s="527"/>
      <c r="CR5" s="527"/>
      <c r="CS5" s="527"/>
      <c r="CT5" s="527"/>
      <c r="CU5" s="527"/>
      <c r="CV5" s="527"/>
      <c r="CW5" s="527"/>
      <c r="CX5" s="527"/>
      <c r="CY5" s="527"/>
      <c r="CZ5" s="527"/>
      <c r="DA5" s="527"/>
      <c r="DB5" s="527"/>
      <c r="DC5" s="527"/>
      <c r="DD5" s="527"/>
    </row>
    <row r="6" spans="1:108" customFormat="1" x14ac:dyDescent="0.2">
      <c r="A6" s="527"/>
      <c r="B6" s="530"/>
      <c r="C6" s="334"/>
      <c r="D6" s="334"/>
      <c r="E6" s="336"/>
      <c r="F6" s="334"/>
      <c r="G6" s="334"/>
      <c r="H6" s="334"/>
      <c r="I6" s="334"/>
      <c r="J6" s="334"/>
      <c r="K6" s="334"/>
      <c r="L6" s="334"/>
      <c r="M6" s="334"/>
      <c r="N6" s="334"/>
      <c r="O6" s="334"/>
      <c r="P6" s="327"/>
      <c r="Q6" s="527"/>
      <c r="R6" s="527"/>
      <c r="Z6" s="549" t="b">
        <f>IF(c_PriceGas="Enter my own NG rates",TRUE,FALSE)</f>
        <v>0</v>
      </c>
      <c r="AA6" s="549" t="b">
        <f>IF(c_PriceElectricity="Enter my own electric rates",TRUE,FALSE)</f>
        <v>0</v>
      </c>
      <c r="AB6" s="549" t="b">
        <f>IF(c_PriceOil="Enter my own oil rates",TRUE,FALSE)</f>
        <v>0</v>
      </c>
      <c r="AC6" s="549" t="b">
        <f>IF(c_PricePropane="Enter my own propane rates",TRUE,FALSE)</f>
        <v>0</v>
      </c>
      <c r="AD6" s="527"/>
      <c r="AE6" s="527"/>
      <c r="AF6" s="527"/>
      <c r="AG6" s="527"/>
      <c r="AH6" s="527"/>
      <c r="AI6" s="527"/>
      <c r="AJ6" s="527"/>
      <c r="AK6" s="527"/>
      <c r="AL6" s="527"/>
      <c r="AM6" s="527"/>
      <c r="AN6" s="527"/>
      <c r="AO6" s="527"/>
      <c r="AP6" s="527"/>
      <c r="AQ6" s="527"/>
      <c r="AR6" s="527"/>
      <c r="AS6" s="527"/>
      <c r="AT6" s="527"/>
      <c r="CG6" s="527"/>
      <c r="CH6" s="527"/>
      <c r="CI6" s="527"/>
      <c r="CJ6" s="527"/>
      <c r="CK6" s="527"/>
      <c r="CL6" s="527"/>
      <c r="CM6" s="527"/>
      <c r="CN6" s="527"/>
      <c r="CO6" s="527"/>
      <c r="CP6" s="527"/>
      <c r="CQ6" s="527"/>
      <c r="CR6" s="527"/>
      <c r="CS6" s="527"/>
      <c r="CT6" s="527"/>
      <c r="CU6" s="527"/>
      <c r="CV6" s="527"/>
      <c r="CW6" s="527"/>
      <c r="CX6" s="527"/>
      <c r="CY6" s="527"/>
      <c r="CZ6" s="527"/>
      <c r="DA6" s="527"/>
      <c r="DB6" s="527"/>
      <c r="DC6" s="527"/>
      <c r="DD6" s="527"/>
    </row>
    <row r="7" spans="1:108" customFormat="1" x14ac:dyDescent="0.2">
      <c r="A7" s="527"/>
      <c r="B7" s="530"/>
      <c r="C7" s="334"/>
      <c r="D7" s="334"/>
      <c r="E7" s="335" t="s">
        <v>3</v>
      </c>
      <c r="F7" s="1" t="s">
        <v>1157</v>
      </c>
      <c r="G7" s="334"/>
      <c r="H7" s="546"/>
      <c r="I7" s="334"/>
      <c r="J7" s="547"/>
      <c r="K7" s="547"/>
      <c r="L7" s="334"/>
      <c r="M7" s="334"/>
      <c r="N7" s="334"/>
      <c r="O7" s="334"/>
      <c r="P7" s="327"/>
      <c r="Q7" s="527"/>
      <c r="R7" s="527"/>
      <c r="S7" s="548">
        <f>IFERROR(MATCH(F7,list_City,0),1)</f>
        <v>1</v>
      </c>
      <c r="Z7" s="549"/>
      <c r="AA7" s="549"/>
      <c r="AB7" s="549"/>
      <c r="AC7" s="549"/>
      <c r="AD7" s="527"/>
      <c r="AE7" s="527"/>
      <c r="AF7" s="527"/>
      <c r="AG7" s="527"/>
      <c r="AH7" s="527"/>
      <c r="AI7" s="527"/>
      <c r="AJ7" s="527"/>
      <c r="AK7" s="527"/>
      <c r="AL7" s="527"/>
      <c r="AM7" s="527"/>
      <c r="AN7" s="527"/>
      <c r="AO7" s="527"/>
      <c r="AP7" s="527"/>
      <c r="AQ7" s="527"/>
      <c r="AR7" s="527"/>
      <c r="AS7" s="527"/>
      <c r="AT7" s="527"/>
      <c r="CG7" s="527"/>
      <c r="CH7" s="527"/>
      <c r="CI7" s="527"/>
      <c r="CJ7" s="527"/>
      <c r="CK7" s="527"/>
      <c r="CL7" s="527"/>
      <c r="CM7" s="527"/>
      <c r="CN7" s="527"/>
      <c r="CO7" s="527"/>
      <c r="CP7" s="527"/>
      <c r="CQ7" s="527"/>
      <c r="CR7" s="527"/>
      <c r="CS7" s="527"/>
      <c r="CT7" s="527"/>
      <c r="CU7" s="527"/>
      <c r="CV7" s="527"/>
      <c r="CW7" s="527"/>
      <c r="CX7" s="527"/>
      <c r="CY7" s="527"/>
      <c r="CZ7" s="527"/>
      <c r="DA7" s="527"/>
      <c r="DB7" s="527"/>
      <c r="DC7" s="527"/>
      <c r="DD7" s="527"/>
    </row>
    <row r="8" spans="1:108" customFormat="1" x14ac:dyDescent="0.2">
      <c r="A8" s="527"/>
      <c r="B8" s="530"/>
      <c r="C8" s="334"/>
      <c r="D8" s="334"/>
      <c r="E8" s="336"/>
      <c r="F8" s="334"/>
      <c r="G8" s="334"/>
      <c r="H8" s="334"/>
      <c r="I8" s="334"/>
      <c r="J8" s="341"/>
      <c r="K8" s="341"/>
      <c r="L8" s="334"/>
      <c r="M8" s="334"/>
      <c r="N8" s="334"/>
      <c r="O8" s="334"/>
      <c r="P8" s="327"/>
      <c r="Q8" s="527"/>
      <c r="R8" s="527"/>
      <c r="Z8" s="549" t="b">
        <f>IF(c_PriceGas="Enter my own NG rates",FALSE,TRUE)</f>
        <v>1</v>
      </c>
      <c r="AA8" s="549" t="b">
        <f>IF(c_PriceElectricity="Enter my own electric rates",FALSE,TRUE)</f>
        <v>1</v>
      </c>
      <c r="AB8" s="549" t="b">
        <f>IF(c_PriceOil="Enter my own oil rates",FALSE,TRUE)</f>
        <v>1</v>
      </c>
      <c r="AC8" s="549" t="b">
        <f>IF(c_PricePropane="Enter my own propane rates",FALSE,TRUE)</f>
        <v>1</v>
      </c>
      <c r="AD8" s="527"/>
      <c r="AE8" s="527"/>
      <c r="AF8" s="527"/>
      <c r="AG8" s="527"/>
      <c r="AH8" s="527"/>
      <c r="AI8" s="527"/>
      <c r="AJ8" s="527"/>
      <c r="AK8" s="527"/>
      <c r="AL8" s="527"/>
      <c r="AM8" s="527"/>
      <c r="AN8" s="527"/>
      <c r="AO8" s="527"/>
      <c r="AP8" s="527"/>
      <c r="AQ8" s="527"/>
      <c r="AR8" s="527"/>
      <c r="AS8" s="527"/>
      <c r="AT8" s="527"/>
      <c r="CG8" s="527"/>
      <c r="CH8" s="527"/>
      <c r="CI8" s="527"/>
      <c r="CJ8" s="527"/>
      <c r="CK8" s="527"/>
      <c r="CL8" s="527"/>
      <c r="CM8" s="527"/>
      <c r="CN8" s="527"/>
      <c r="CO8" s="527"/>
      <c r="CP8" s="527"/>
      <c r="CQ8" s="527"/>
      <c r="CR8" s="527"/>
      <c r="CS8" s="527"/>
      <c r="CT8" s="527"/>
      <c r="CU8" s="527"/>
      <c r="CV8" s="527"/>
      <c r="CW8" s="527"/>
      <c r="CX8" s="527"/>
      <c r="CY8" s="527"/>
      <c r="CZ8" s="527"/>
      <c r="DA8" s="527"/>
      <c r="DB8" s="527"/>
      <c r="DC8" s="527"/>
      <c r="DD8" s="527"/>
    </row>
    <row r="9" spans="1:108" customFormat="1" x14ac:dyDescent="0.2">
      <c r="A9" s="527"/>
      <c r="B9" s="530"/>
      <c r="C9" s="334"/>
      <c r="D9" s="334"/>
      <c r="E9" s="335" t="s">
        <v>4</v>
      </c>
      <c r="F9" s="560" t="s">
        <v>880</v>
      </c>
      <c r="G9" s="560"/>
      <c r="H9" s="334"/>
      <c r="I9" s="526" t="str" cm="1">
        <f t="array" ref="I9">IFERROR(_xlfn.IFS(AND(state&lt;53,emisProfile=3),"Central Station Emissions Profile does not match.",AND(state&gt;52,emisProfile&lt;3),"Central Station Emissions Profile does not match."),"")</f>
        <v/>
      </c>
      <c r="J9" s="341"/>
      <c r="K9" s="341"/>
      <c r="L9" s="334"/>
      <c r="M9" s="334"/>
      <c r="N9" s="334"/>
      <c r="O9" s="334"/>
      <c r="P9" s="327"/>
      <c r="Q9" s="527"/>
      <c r="R9" s="527"/>
      <c r="S9" s="334">
        <f>IFERROR(MATCH(F9,list_Emission,0),1)</f>
        <v>2</v>
      </c>
      <c r="Z9" s="527"/>
      <c r="AA9" s="527"/>
      <c r="AB9" s="527"/>
      <c r="AC9" s="527"/>
      <c r="AD9" s="527"/>
      <c r="AE9" s="527"/>
      <c r="AF9" s="527"/>
      <c r="AG9" s="527"/>
      <c r="AH9" s="527"/>
      <c r="AI9" s="527"/>
      <c r="AJ9" s="527"/>
      <c r="AK9" s="527"/>
      <c r="AL9" s="527"/>
      <c r="AM9" s="527"/>
      <c r="AN9" s="527"/>
      <c r="AO9" s="527"/>
      <c r="AP9" s="527"/>
      <c r="AQ9" s="527"/>
      <c r="AR9" s="527"/>
      <c r="AS9" s="527"/>
      <c r="AT9" s="527"/>
      <c r="CG9" s="527"/>
      <c r="CH9" s="527"/>
      <c r="CI9" s="527"/>
      <c r="CJ9" s="527"/>
      <c r="CK9" s="527"/>
      <c r="CL9" s="527"/>
      <c r="CM9" s="527"/>
      <c r="CN9" s="527"/>
      <c r="CO9" s="527"/>
      <c r="CP9" s="527"/>
      <c r="CQ9" s="527"/>
      <c r="CR9" s="527"/>
      <c r="CS9" s="527"/>
      <c r="CT9" s="527"/>
      <c r="CU9" s="527"/>
      <c r="CV9" s="527"/>
      <c r="CW9" s="527"/>
      <c r="CX9" s="527"/>
      <c r="CY9" s="527"/>
      <c r="CZ9" s="527"/>
      <c r="DA9" s="527"/>
      <c r="DB9" s="527"/>
      <c r="DC9" s="527"/>
      <c r="DD9" s="527"/>
    </row>
    <row r="10" spans="1:108" customFormat="1" x14ac:dyDescent="0.2">
      <c r="A10" s="527"/>
      <c r="B10" s="530"/>
      <c r="C10" s="339"/>
      <c r="D10" s="334"/>
      <c r="E10" s="334"/>
      <c r="F10" s="334"/>
      <c r="G10" s="334"/>
      <c r="H10" s="337"/>
      <c r="I10" s="334"/>
      <c r="J10" s="334"/>
      <c r="K10" s="334"/>
      <c r="L10" s="334"/>
      <c r="M10" s="334"/>
      <c r="N10" s="334"/>
      <c r="O10" s="334"/>
      <c r="P10" s="327"/>
      <c r="Q10" s="527"/>
      <c r="R10" s="527"/>
      <c r="Z10" s="527"/>
      <c r="AA10" s="527"/>
      <c r="AB10" s="527"/>
      <c r="AC10" s="527"/>
      <c r="AD10" s="527"/>
      <c r="AE10" s="527"/>
      <c r="AF10" s="527"/>
      <c r="AG10" s="527"/>
      <c r="AH10" s="527"/>
      <c r="AI10" s="527"/>
      <c r="AJ10" s="527"/>
      <c r="AK10" s="527"/>
      <c r="AL10" s="527"/>
      <c r="AM10" s="527"/>
      <c r="AN10" s="527"/>
      <c r="AO10" s="527"/>
      <c r="AP10" s="527"/>
      <c r="AQ10" s="527"/>
      <c r="AR10" s="527"/>
      <c r="AS10" s="527"/>
      <c r="AT10" s="527"/>
      <c r="CG10" s="527"/>
      <c r="CH10" s="527"/>
      <c r="CI10" s="527"/>
      <c r="CJ10" s="527"/>
      <c r="CK10" s="527"/>
      <c r="CL10" s="527"/>
      <c r="CM10" s="527"/>
      <c r="CN10" s="527"/>
      <c r="CO10" s="527"/>
      <c r="CP10" s="527"/>
      <c r="CQ10" s="527"/>
      <c r="CR10" s="527"/>
      <c r="CS10" s="527"/>
      <c r="CT10" s="527"/>
      <c r="CU10" s="527"/>
      <c r="CV10" s="527"/>
      <c r="CW10" s="527"/>
      <c r="CX10" s="527"/>
      <c r="CY10" s="527"/>
      <c r="CZ10" s="527"/>
      <c r="DA10" s="527"/>
      <c r="DB10" s="527"/>
      <c r="DC10" s="527"/>
      <c r="DD10" s="527"/>
    </row>
    <row r="11" spans="1:108" customFormat="1" x14ac:dyDescent="0.2">
      <c r="A11" s="527"/>
      <c r="B11" s="530"/>
      <c r="C11" s="339"/>
      <c r="D11" s="334"/>
      <c r="E11" s="334" t="str">
        <f>""</f>
        <v/>
      </c>
      <c r="F11" s="535" t="s">
        <v>6</v>
      </c>
      <c r="G11" s="536" t="str">
        <f>""</f>
        <v/>
      </c>
      <c r="H11" s="536"/>
      <c r="I11" s="536" t="s">
        <v>7</v>
      </c>
      <c r="J11" s="536" t="str">
        <f>""</f>
        <v/>
      </c>
      <c r="K11" s="536"/>
      <c r="L11" s="536" t="s">
        <v>8</v>
      </c>
      <c r="M11" s="536" t="str">
        <f>""</f>
        <v/>
      </c>
      <c r="N11" s="536"/>
      <c r="O11" s="536" t="s">
        <v>9</v>
      </c>
      <c r="P11" s="327" t="str">
        <f>""</f>
        <v/>
      </c>
      <c r="Q11" s="527"/>
      <c r="R11" s="527"/>
      <c r="Z11" s="527"/>
      <c r="AA11" s="527"/>
      <c r="AB11" s="527"/>
      <c r="AC11" s="527"/>
      <c r="AD11" s="527"/>
      <c r="AE11" s="527"/>
      <c r="AF11" s="527"/>
      <c r="AG11" s="527"/>
      <c r="AH11" s="527"/>
      <c r="AI11" s="527"/>
      <c r="AJ11" s="527"/>
      <c r="AK11" s="527"/>
      <c r="AL11" s="527"/>
      <c r="AM11" s="527"/>
      <c r="AN11" s="527"/>
      <c r="AO11" s="527"/>
      <c r="AP11" s="527"/>
      <c r="AQ11" s="527"/>
      <c r="AR11" s="527"/>
      <c r="AS11" s="527"/>
      <c r="AT11" s="527"/>
      <c r="CG11" s="527"/>
      <c r="CH11" s="527"/>
      <c r="CI11" s="527"/>
      <c r="CJ11" s="527"/>
      <c r="CK11" s="527"/>
      <c r="CL11" s="527"/>
      <c r="CM11" s="527"/>
      <c r="CN11" s="527"/>
      <c r="CO11" s="527"/>
      <c r="CP11" s="527"/>
      <c r="CQ11" s="527"/>
      <c r="CR11" s="527"/>
      <c r="CS11" s="527"/>
      <c r="CT11" s="527"/>
      <c r="CU11" s="527"/>
      <c r="CV11" s="527"/>
      <c r="CW11" s="527"/>
      <c r="CX11" s="527"/>
      <c r="CY11" s="527"/>
      <c r="CZ11" s="527"/>
      <c r="DA11" s="527"/>
      <c r="DB11" s="527"/>
      <c r="DC11" s="527"/>
      <c r="DD11" s="527"/>
    </row>
    <row r="12" spans="1:108" customFormat="1" x14ac:dyDescent="0.2">
      <c r="A12" s="527"/>
      <c r="B12" s="530"/>
      <c r="C12" s="339"/>
      <c r="D12" s="334"/>
      <c r="E12" s="335" t="s">
        <v>5</v>
      </c>
      <c r="F12" s="1" t="s">
        <v>274</v>
      </c>
      <c r="G12" s="334" t="str">
        <f>""</f>
        <v/>
      </c>
      <c r="H12" s="551"/>
      <c r="I12" s="1" t="s">
        <v>275</v>
      </c>
      <c r="J12" s="334" t="str">
        <f>""</f>
        <v/>
      </c>
      <c r="K12" s="334"/>
      <c r="L12" s="1" t="s">
        <v>276</v>
      </c>
      <c r="M12" s="334" t="str">
        <f>""</f>
        <v/>
      </c>
      <c r="N12" s="334"/>
      <c r="O12" s="375" t="s">
        <v>277</v>
      </c>
      <c r="P12" s="327" t="str">
        <f>""</f>
        <v/>
      </c>
      <c r="Q12" s="527"/>
      <c r="R12" s="527"/>
      <c r="S12" s="334">
        <f>IFERROR(MATCH(F12,list_Naturalgas,0),1)</f>
        <v>1</v>
      </c>
      <c r="U12" s="334">
        <f>IFERROR(MATCH(I12,list_Electricity,0),1)</f>
        <v>1</v>
      </c>
      <c r="W12" s="334">
        <f>IFERROR(MATCH(L12,list_Oil,0),1)</f>
        <v>1</v>
      </c>
      <c r="Y12" s="334">
        <f>IFERROR(MATCH(O12,list_Propane,0),1)</f>
        <v>1</v>
      </c>
      <c r="Z12" s="527"/>
      <c r="AA12" s="527"/>
      <c r="AB12" s="527"/>
      <c r="AC12" s="527"/>
      <c r="AD12" s="527"/>
      <c r="AE12" s="527"/>
      <c r="AF12" s="527"/>
      <c r="AG12" s="527"/>
      <c r="AH12" s="527"/>
      <c r="AI12" s="527"/>
      <c r="AJ12" s="527"/>
      <c r="AK12" s="527"/>
      <c r="AL12" s="527"/>
      <c r="AM12" s="527"/>
      <c r="AN12" s="527"/>
      <c r="AO12" s="527"/>
      <c r="AP12" s="527"/>
      <c r="AQ12" s="527"/>
      <c r="AR12" s="527"/>
      <c r="AS12" s="527"/>
      <c r="AT12" s="527"/>
      <c r="CG12" s="527"/>
      <c r="CH12" s="527"/>
      <c r="CI12" s="527"/>
      <c r="CJ12" s="527"/>
      <c r="CK12" s="527"/>
      <c r="CL12" s="527"/>
      <c r="CM12" s="527"/>
      <c r="CN12" s="527"/>
      <c r="CO12" s="527"/>
      <c r="CP12" s="527"/>
      <c r="CQ12" s="527"/>
      <c r="CR12" s="527"/>
      <c r="CS12" s="527"/>
      <c r="CT12" s="527"/>
      <c r="CU12" s="527"/>
      <c r="CV12" s="527"/>
      <c r="CW12" s="527"/>
      <c r="CX12" s="527"/>
      <c r="CY12" s="527"/>
      <c r="CZ12" s="527"/>
      <c r="DA12" s="527"/>
      <c r="DB12" s="527"/>
      <c r="DC12" s="527"/>
      <c r="DD12" s="527"/>
    </row>
    <row r="13" spans="1:108" customFormat="1" ht="12.95" customHeight="1" x14ac:dyDescent="0.2">
      <c r="A13" s="527"/>
      <c r="B13" s="530"/>
      <c r="C13" s="339"/>
      <c r="D13" s="334"/>
      <c r="E13" s="370" t="str">
        <f>IF(OR(NGrates=1,Erates=1,Orates=1,Prates=1),"Default Energy Rates","")</f>
        <v>Default Energy Rates</v>
      </c>
      <c r="F13" s="361">
        <f>IF(NGrates=1,Calc!B117,"")</f>
        <v>14.83</v>
      </c>
      <c r="G13" s="341" t="str">
        <f>IF(NGrates=1,"$/MMBtu","")</f>
        <v>$/MMBtu</v>
      </c>
      <c r="H13" s="534" t="b">
        <f>F12="Use default NG rates"</f>
        <v>1</v>
      </c>
      <c r="I13" s="361">
        <f>IF(Erates=1,Calc!B116,"")</f>
        <v>16</v>
      </c>
      <c r="J13" s="341" t="str">
        <f>IF(Erates=1,"cents/kWh","")</f>
        <v>cents/kWh</v>
      </c>
      <c r="K13" s="534" t="b">
        <f>I12="Use default electric rates"</f>
        <v>1</v>
      </c>
      <c r="L13" s="361">
        <f>IF(Orates=1,Calc!B118,"")</f>
        <v>4.28</v>
      </c>
      <c r="M13" s="334" t="str">
        <f>IF(Orates=1,"$/gal","")</f>
        <v>$/gal</v>
      </c>
      <c r="N13" s="534" t="b">
        <f>L12="Use default oil rates"</f>
        <v>1</v>
      </c>
      <c r="O13" s="361">
        <f>IF(Prates=1,Calc!B119,"")</f>
        <v>2.56</v>
      </c>
      <c r="P13" s="327" t="str">
        <f>IF(Prates=1,"$/gal","")</f>
        <v>$/gal</v>
      </c>
      <c r="Q13" s="549" t="b">
        <f>O12="Use default propane rates"</f>
        <v>1</v>
      </c>
      <c r="R13" s="527"/>
      <c r="Z13" s="527"/>
      <c r="AA13" s="527"/>
      <c r="AB13" s="527"/>
      <c r="AC13" s="527"/>
      <c r="AD13" s="527"/>
      <c r="AE13" s="527"/>
      <c r="AF13" s="527"/>
      <c r="AG13" s="527"/>
      <c r="AH13" s="527"/>
      <c r="AI13" s="527"/>
      <c r="AJ13" s="527"/>
      <c r="AK13" s="527"/>
      <c r="AL13" s="527"/>
      <c r="AM13" s="527"/>
      <c r="AN13" s="527"/>
      <c r="AO13" s="527"/>
      <c r="AP13" s="527"/>
      <c r="AQ13" s="527"/>
      <c r="AR13" s="527"/>
      <c r="AS13" s="527"/>
      <c r="AT13" s="527"/>
      <c r="CG13" s="527"/>
      <c r="CH13" s="527"/>
      <c r="CI13" s="527"/>
      <c r="CJ13" s="527"/>
      <c r="CK13" s="527"/>
      <c r="CL13" s="527"/>
      <c r="CM13" s="527"/>
      <c r="CN13" s="527"/>
      <c r="CO13" s="527"/>
      <c r="CP13" s="527"/>
      <c r="CQ13" s="527"/>
      <c r="CR13" s="527"/>
      <c r="CS13" s="527"/>
      <c r="CT13" s="527"/>
      <c r="CU13" s="527"/>
      <c r="CV13" s="527"/>
      <c r="CW13" s="527"/>
      <c r="CX13" s="527"/>
      <c r="CY13" s="527"/>
      <c r="CZ13" s="527"/>
      <c r="DA13" s="527"/>
      <c r="DB13" s="527"/>
      <c r="DC13" s="527"/>
      <c r="DD13" s="527"/>
    </row>
    <row r="14" spans="1:108" customFormat="1" x14ac:dyDescent="0.2">
      <c r="A14" s="527"/>
      <c r="B14" s="530"/>
      <c r="C14" s="339"/>
      <c r="D14" s="334"/>
      <c r="E14" s="370" t="str">
        <f>IF(OR(NGrates=2,Erates=2,Orates=2,Prates=2),"User Input Energy Rates","")</f>
        <v/>
      </c>
      <c r="F14" s="537">
        <v>14.1</v>
      </c>
      <c r="G14" s="499" t="str">
        <f>IF(NGrates=2,"$/MMBtu","")</f>
        <v/>
      </c>
      <c r="H14" s="538" t="b">
        <f>NOT(H13)</f>
        <v>0</v>
      </c>
      <c r="I14" s="537">
        <v>17</v>
      </c>
      <c r="J14" s="499" t="str">
        <f>IF(Erates=2,"cents/kWh","")</f>
        <v/>
      </c>
      <c r="K14" s="538" t="b">
        <f>NOT(K13)</f>
        <v>0</v>
      </c>
      <c r="L14" s="537">
        <v>4.0999999999999996</v>
      </c>
      <c r="M14" s="493" t="str">
        <f>IF(Orates=2,"$/gal","")</f>
        <v/>
      </c>
      <c r="N14" s="538" t="b">
        <f>NOT(N13)</f>
        <v>0</v>
      </c>
      <c r="O14" s="537">
        <v>3</v>
      </c>
      <c r="P14" s="329" t="str">
        <f>IF(Prates=2,"$/gal","")</f>
        <v/>
      </c>
      <c r="Q14" s="549" t="b">
        <f>NOT(Q13)</f>
        <v>0</v>
      </c>
      <c r="R14" s="527"/>
      <c r="Z14" s="527"/>
      <c r="AA14" s="527"/>
      <c r="AB14" s="527"/>
      <c r="AC14" s="527"/>
      <c r="AD14" s="527"/>
      <c r="AE14" s="527"/>
      <c r="AF14" s="527"/>
      <c r="AG14" s="527"/>
      <c r="AH14" s="527"/>
      <c r="AI14" s="527"/>
      <c r="AJ14" s="527"/>
      <c r="AK14" s="527"/>
      <c r="AL14" s="527"/>
      <c r="AM14" s="527"/>
      <c r="AN14" s="527"/>
      <c r="AO14" s="527"/>
      <c r="AP14" s="527"/>
      <c r="AQ14" s="527"/>
      <c r="AR14" s="527"/>
      <c r="AS14" s="527"/>
      <c r="AT14" s="527"/>
      <c r="CG14" s="527"/>
      <c r="CH14" s="527"/>
      <c r="CI14" s="527"/>
      <c r="CJ14" s="527"/>
      <c r="CK14" s="527"/>
      <c r="CL14" s="527"/>
      <c r="CM14" s="527"/>
      <c r="CN14" s="527"/>
      <c r="CO14" s="527"/>
      <c r="CP14" s="527"/>
      <c r="CQ14" s="527"/>
      <c r="CR14" s="527"/>
      <c r="CS14" s="527"/>
      <c r="CT14" s="527"/>
      <c r="CU14" s="527"/>
      <c r="CV14" s="527"/>
      <c r="CW14" s="527"/>
      <c r="CX14" s="527"/>
      <c r="CY14" s="527"/>
      <c r="CZ14" s="527"/>
      <c r="DA14" s="527"/>
      <c r="DB14" s="527"/>
      <c r="DC14" s="527"/>
      <c r="DD14" s="527"/>
    </row>
    <row r="15" spans="1:108" customFormat="1" x14ac:dyDescent="0.2">
      <c r="A15" s="527"/>
      <c r="B15" s="530"/>
      <c r="C15" s="339"/>
      <c r="D15" s="334"/>
      <c r="E15" s="370"/>
      <c r="F15" s="533"/>
      <c r="G15" s="341"/>
      <c r="H15" s="337"/>
      <c r="I15" s="334"/>
      <c r="J15" s="334"/>
      <c r="K15" s="334"/>
      <c r="L15" s="334"/>
      <c r="M15" s="334"/>
      <c r="N15" s="334"/>
      <c r="O15" s="334"/>
      <c r="P15" s="327"/>
      <c r="Q15" s="527"/>
      <c r="R15" s="527"/>
      <c r="Z15" s="527"/>
      <c r="AA15" s="527"/>
      <c r="AB15" s="527"/>
      <c r="AC15" s="527"/>
      <c r="AD15" s="527"/>
      <c r="AE15" s="527"/>
      <c r="AF15" s="527"/>
      <c r="AG15" s="527"/>
      <c r="AH15" s="527"/>
      <c r="AI15" s="527"/>
      <c r="AJ15" s="527"/>
      <c r="AK15" s="527"/>
      <c r="AL15" s="527"/>
      <c r="AM15" s="527"/>
      <c r="AN15" s="527"/>
      <c r="AO15" s="527"/>
      <c r="AP15" s="527"/>
      <c r="AQ15" s="527"/>
      <c r="AR15" s="527"/>
      <c r="AS15" s="527"/>
      <c r="AT15" s="527"/>
      <c r="CG15" s="527"/>
      <c r="CH15" s="527"/>
      <c r="CI15" s="527"/>
      <c r="CJ15" s="527"/>
      <c r="CK15" s="527"/>
      <c r="CL15" s="527"/>
      <c r="CM15" s="527"/>
      <c r="CN15" s="527"/>
      <c r="CO15" s="527"/>
      <c r="CP15" s="527"/>
      <c r="CQ15" s="527"/>
      <c r="CR15" s="527"/>
      <c r="CS15" s="527"/>
      <c r="CT15" s="527"/>
      <c r="CU15" s="527"/>
      <c r="CV15" s="527"/>
      <c r="CW15" s="527"/>
      <c r="CX15" s="527"/>
      <c r="CY15" s="527"/>
      <c r="CZ15" s="527"/>
      <c r="DA15" s="527"/>
      <c r="DB15" s="527"/>
      <c r="DC15" s="527"/>
      <c r="DD15" s="527"/>
    </row>
    <row r="16" spans="1:108" customFormat="1" ht="13.5" customHeight="1" x14ac:dyDescent="0.2">
      <c r="A16" s="527"/>
      <c r="B16" s="530"/>
      <c r="C16" s="334"/>
      <c r="D16" s="334"/>
      <c r="E16" s="334"/>
      <c r="F16" s="341"/>
      <c r="G16" s="334"/>
      <c r="H16" s="334"/>
      <c r="I16" s="334"/>
      <c r="J16" s="334"/>
      <c r="K16" s="334"/>
      <c r="L16" s="334"/>
      <c r="M16" s="334"/>
      <c r="N16" s="334"/>
      <c r="O16" s="334"/>
      <c r="P16" s="327"/>
      <c r="Q16" s="527"/>
      <c r="R16" s="527"/>
      <c r="Z16" s="527"/>
      <c r="AA16" s="527"/>
      <c r="AB16" s="527"/>
      <c r="AC16" s="527"/>
      <c r="AD16" s="527"/>
      <c r="AE16" s="527"/>
      <c r="AF16" s="527"/>
      <c r="AG16" s="527"/>
      <c r="AH16" s="527"/>
      <c r="AI16" s="527"/>
      <c r="AJ16" s="527"/>
      <c r="AK16" s="527"/>
      <c r="AL16" s="527"/>
      <c r="AM16" s="527"/>
      <c r="AN16" s="527"/>
      <c r="AO16" s="527"/>
      <c r="AP16" s="527"/>
      <c r="AQ16" s="527"/>
      <c r="AR16" s="527"/>
      <c r="AS16" s="527"/>
      <c r="AT16" s="527"/>
      <c r="CG16" s="527"/>
      <c r="CH16" s="527"/>
      <c r="CI16" s="527"/>
      <c r="CJ16" s="527"/>
      <c r="CK16" s="527"/>
      <c r="CL16" s="527"/>
      <c r="CM16" s="527"/>
      <c r="CN16" s="527"/>
      <c r="CO16" s="527"/>
      <c r="CP16" s="527"/>
      <c r="CQ16" s="527"/>
      <c r="CR16" s="527"/>
      <c r="CS16" s="527"/>
      <c r="CT16" s="527"/>
      <c r="CU16" s="527"/>
      <c r="CV16" s="527"/>
      <c r="CW16" s="527"/>
      <c r="CX16" s="527"/>
      <c r="CY16" s="527"/>
      <c r="CZ16" s="527"/>
      <c r="DA16" s="527"/>
      <c r="DB16" s="527"/>
      <c r="DC16" s="527"/>
      <c r="DD16" s="527"/>
    </row>
    <row r="17" spans="1:108" customFormat="1" x14ac:dyDescent="0.2">
      <c r="A17" s="528"/>
      <c r="B17" s="530"/>
      <c r="C17" s="334"/>
      <c r="D17" s="340" t="s">
        <v>10</v>
      </c>
      <c r="E17" s="334"/>
      <c r="F17" s="334"/>
      <c r="G17" s="334"/>
      <c r="H17" s="334"/>
      <c r="I17" s="334"/>
      <c r="J17" s="334"/>
      <c r="K17" s="334"/>
      <c r="L17" s="334"/>
      <c r="M17" s="334"/>
      <c r="N17" s="334"/>
      <c r="O17" s="334"/>
      <c r="P17" s="327"/>
      <c r="Q17" s="527"/>
      <c r="R17" s="527"/>
      <c r="Z17" s="527"/>
      <c r="AA17" s="527"/>
      <c r="AB17" s="527"/>
      <c r="AC17" s="527"/>
      <c r="AD17" s="527"/>
      <c r="AE17" s="527"/>
      <c r="AF17" s="527"/>
      <c r="AG17" s="527"/>
      <c r="AH17" s="527"/>
      <c r="AI17" s="527"/>
      <c r="AJ17" s="527"/>
      <c r="AK17" s="527"/>
      <c r="AL17" s="527"/>
      <c r="AM17" s="527"/>
      <c r="AN17" s="527"/>
      <c r="AO17" s="527"/>
      <c r="AP17" s="527"/>
      <c r="AQ17" s="527"/>
      <c r="AR17" s="527"/>
      <c r="AS17" s="527"/>
      <c r="AT17" s="527"/>
      <c r="CG17" s="527"/>
      <c r="CH17" s="527"/>
      <c r="CI17" s="527"/>
      <c r="CJ17" s="527"/>
      <c r="CK17" s="527"/>
      <c r="CL17" s="527"/>
      <c r="CM17" s="527"/>
      <c r="CN17" s="527"/>
      <c r="CO17" s="527"/>
      <c r="CP17" s="527"/>
      <c r="CQ17" s="527"/>
      <c r="CR17" s="527"/>
      <c r="CS17" s="527"/>
      <c r="CT17" s="527"/>
      <c r="CU17" s="527"/>
      <c r="CV17" s="527"/>
      <c r="CW17" s="527"/>
      <c r="CX17" s="527"/>
      <c r="CY17" s="527"/>
      <c r="CZ17" s="527"/>
      <c r="DA17" s="527"/>
      <c r="DB17" s="527"/>
      <c r="DC17" s="527"/>
      <c r="DD17" s="527"/>
    </row>
    <row r="18" spans="1:108" customFormat="1" x14ac:dyDescent="0.2">
      <c r="A18" s="527"/>
      <c r="B18" s="530"/>
      <c r="C18" s="334"/>
      <c r="D18" s="334"/>
      <c r="E18" s="334"/>
      <c r="F18" s="334"/>
      <c r="G18" s="334"/>
      <c r="H18" s="334"/>
      <c r="I18" s="334"/>
      <c r="J18" s="334"/>
      <c r="K18" s="334"/>
      <c r="L18" s="334"/>
      <c r="M18" s="334"/>
      <c r="N18" s="334"/>
      <c r="O18" s="334"/>
      <c r="P18" s="327"/>
      <c r="Q18" s="527"/>
      <c r="R18" s="527"/>
      <c r="Z18" s="527"/>
      <c r="AA18" s="527"/>
      <c r="AB18" s="527"/>
      <c r="AC18" s="527"/>
      <c r="AD18" s="527"/>
      <c r="AE18" s="527"/>
      <c r="AF18" s="527"/>
      <c r="AG18" s="527"/>
      <c r="AH18" s="527"/>
      <c r="AI18" s="527"/>
      <c r="AJ18" s="527"/>
      <c r="AK18" s="527"/>
      <c r="AL18" s="527"/>
      <c r="AM18" s="527"/>
      <c r="AN18" s="527"/>
      <c r="AO18" s="527"/>
      <c r="AP18" s="527"/>
      <c r="AQ18" s="527"/>
      <c r="AR18" s="527"/>
      <c r="AS18" s="527"/>
      <c r="AT18" s="527"/>
      <c r="CG18" s="527"/>
      <c r="CH18" s="527"/>
      <c r="CI18" s="527"/>
      <c r="CJ18" s="527"/>
      <c r="CK18" s="527"/>
      <c r="CL18" s="527"/>
      <c r="CM18" s="527"/>
      <c r="CN18" s="527"/>
      <c r="CO18" s="527"/>
      <c r="CP18" s="527"/>
      <c r="CQ18" s="527"/>
      <c r="CR18" s="527"/>
      <c r="CS18" s="527"/>
      <c r="CT18" s="527"/>
      <c r="CU18" s="527"/>
      <c r="CV18" s="527"/>
      <c r="CW18" s="527"/>
      <c r="CX18" s="527"/>
      <c r="CY18" s="527"/>
      <c r="CZ18" s="527"/>
      <c r="DA18" s="527"/>
      <c r="DB18" s="527"/>
      <c r="DC18" s="527"/>
      <c r="DD18" s="527"/>
    </row>
    <row r="19" spans="1:108" customFormat="1" x14ac:dyDescent="0.2">
      <c r="A19" s="527"/>
      <c r="B19" s="530"/>
      <c r="C19" s="334"/>
      <c r="D19" s="334"/>
      <c r="E19" s="341" t="s">
        <v>1158</v>
      </c>
      <c r="F19" s="328">
        <v>2000</v>
      </c>
      <c r="G19" s="334" t="s">
        <v>11</v>
      </c>
      <c r="H19" s="334"/>
      <c r="I19" s="334"/>
      <c r="J19" s="334"/>
      <c r="K19" s="334"/>
      <c r="L19" s="334"/>
      <c r="M19" s="334"/>
      <c r="N19" s="334"/>
      <c r="O19" s="334"/>
      <c r="P19" s="327"/>
      <c r="Q19" s="527"/>
      <c r="R19" s="527"/>
      <c r="Z19" s="527"/>
      <c r="AA19" s="527"/>
      <c r="AB19" s="527"/>
      <c r="AC19" s="527"/>
      <c r="AD19" s="527"/>
      <c r="AE19" s="527"/>
      <c r="AF19" s="527"/>
      <c r="AG19" s="527"/>
      <c r="AH19" s="527"/>
      <c r="AI19" s="527"/>
      <c r="AJ19" s="527"/>
      <c r="AK19" s="527"/>
      <c r="AL19" s="527"/>
      <c r="AM19" s="527"/>
      <c r="AN19" s="527"/>
      <c r="AO19" s="527"/>
      <c r="AP19" s="527"/>
      <c r="AQ19" s="527"/>
      <c r="AR19" s="527"/>
      <c r="AS19" s="527"/>
      <c r="AT19" s="527"/>
      <c r="CG19" s="527"/>
      <c r="CH19" s="527"/>
      <c r="CI19" s="527"/>
      <c r="CJ19" s="527"/>
      <c r="CK19" s="527"/>
      <c r="CL19" s="527"/>
      <c r="CM19" s="527"/>
      <c r="CN19" s="527"/>
      <c r="CO19" s="527"/>
      <c r="CP19" s="527"/>
      <c r="CQ19" s="527"/>
      <c r="CR19" s="527"/>
      <c r="CS19" s="527"/>
      <c r="CT19" s="527"/>
      <c r="CU19" s="527"/>
      <c r="CV19" s="527"/>
      <c r="CW19" s="527"/>
      <c r="CX19" s="527"/>
      <c r="CY19" s="527"/>
      <c r="CZ19" s="527"/>
      <c r="DA19" s="527"/>
      <c r="DB19" s="527"/>
      <c r="DC19" s="527"/>
      <c r="DD19" s="527"/>
    </row>
    <row r="20" spans="1:108" customFormat="1" x14ac:dyDescent="0.2">
      <c r="A20" s="527"/>
      <c r="B20" s="530"/>
      <c r="C20" s="334"/>
      <c r="D20" s="334"/>
      <c r="E20" s="334"/>
      <c r="F20" s="334"/>
      <c r="G20" s="334"/>
      <c r="H20" s="341"/>
      <c r="I20" s="334"/>
      <c r="J20" s="334"/>
      <c r="K20" s="334"/>
      <c r="L20" s="334"/>
      <c r="M20" s="334"/>
      <c r="N20" s="334"/>
      <c r="O20" s="334"/>
      <c r="P20" s="327"/>
      <c r="Q20" s="527"/>
      <c r="R20" s="527"/>
      <c r="Z20" s="527"/>
      <c r="AA20" s="527"/>
      <c r="AB20" s="527"/>
      <c r="AC20" s="527"/>
      <c r="AD20" s="527"/>
      <c r="AE20" s="527"/>
      <c r="AF20" s="527"/>
      <c r="AG20" s="527"/>
      <c r="AH20" s="527"/>
      <c r="AI20" s="527"/>
      <c r="AJ20" s="527"/>
      <c r="AK20" s="527"/>
      <c r="AL20" s="527"/>
      <c r="AM20" s="527"/>
      <c r="AN20" s="527"/>
      <c r="AO20" s="527"/>
      <c r="AP20" s="527"/>
      <c r="AQ20" s="527"/>
      <c r="AR20" s="527"/>
      <c r="AS20" s="527"/>
      <c r="AT20" s="527"/>
      <c r="CG20" s="527"/>
      <c r="CH20" s="527"/>
      <c r="CI20" s="527"/>
      <c r="CJ20" s="527"/>
      <c r="CK20" s="527"/>
      <c r="CL20" s="527"/>
      <c r="CM20" s="527"/>
      <c r="CN20" s="527"/>
      <c r="CO20" s="527"/>
      <c r="CP20" s="527"/>
      <c r="CQ20" s="527"/>
      <c r="CR20" s="527"/>
      <c r="CS20" s="527"/>
      <c r="CT20" s="527"/>
      <c r="CU20" s="527"/>
      <c r="CV20" s="527"/>
      <c r="CW20" s="527"/>
      <c r="CX20" s="527"/>
      <c r="CY20" s="527"/>
      <c r="CZ20" s="527"/>
      <c r="DA20" s="527"/>
      <c r="DB20" s="527"/>
      <c r="DC20" s="527"/>
      <c r="DD20" s="527"/>
    </row>
    <row r="21" spans="1:108" customFormat="1" x14ac:dyDescent="0.2">
      <c r="A21" s="527"/>
      <c r="B21" s="530"/>
      <c r="C21" s="334"/>
      <c r="D21" s="334"/>
      <c r="E21" s="341" t="s">
        <v>12</v>
      </c>
      <c r="F21" s="1" t="s">
        <v>62</v>
      </c>
      <c r="G21" s="334"/>
      <c r="H21" s="334"/>
      <c r="I21" s="334"/>
      <c r="J21" s="334"/>
      <c r="K21" s="334"/>
      <c r="L21" s="334"/>
      <c r="M21" s="334"/>
      <c r="N21" s="334"/>
      <c r="O21" s="334"/>
      <c r="P21" s="327"/>
      <c r="Q21" s="527"/>
      <c r="R21" s="527"/>
      <c r="S21" s="547">
        <f>IFERROR(MATCH(F21,list_EnergySource,0),1)</f>
        <v>1</v>
      </c>
      <c r="Z21" s="527"/>
      <c r="AA21" s="527"/>
      <c r="AB21" s="527"/>
      <c r="AC21" s="527"/>
      <c r="AD21" s="527"/>
      <c r="AE21" s="527"/>
      <c r="AF21" s="527"/>
      <c r="AG21" s="527"/>
      <c r="AH21" s="527"/>
      <c r="AI21" s="527"/>
      <c r="AJ21" s="527"/>
      <c r="AK21" s="527"/>
      <c r="AL21" s="527"/>
      <c r="AM21" s="527"/>
      <c r="AN21" s="527"/>
      <c r="AO21" s="527"/>
      <c r="AP21" s="527"/>
      <c r="AQ21" s="527"/>
      <c r="AR21" s="527"/>
      <c r="AS21" s="527"/>
      <c r="AT21" s="527"/>
      <c r="CG21" s="527"/>
      <c r="CH21" s="527"/>
      <c r="CI21" s="527"/>
      <c r="CJ21" s="527"/>
      <c r="CK21" s="527"/>
      <c r="CL21" s="527"/>
      <c r="CM21" s="527"/>
      <c r="CN21" s="527"/>
      <c r="CO21" s="527"/>
      <c r="CP21" s="527"/>
      <c r="CQ21" s="527"/>
      <c r="CR21" s="527"/>
      <c r="CS21" s="527"/>
      <c r="CT21" s="527"/>
      <c r="CU21" s="527"/>
      <c r="CV21" s="527"/>
      <c r="CW21" s="527"/>
      <c r="CX21" s="527"/>
      <c r="CY21" s="527"/>
      <c r="CZ21" s="527"/>
      <c r="DA21" s="527"/>
      <c r="DB21" s="527"/>
      <c r="DC21" s="527"/>
      <c r="DD21" s="527"/>
    </row>
    <row r="22" spans="1:108" customFormat="1" x14ac:dyDescent="0.2">
      <c r="A22" s="527"/>
      <c r="B22" s="530"/>
      <c r="C22" s="334"/>
      <c r="D22" s="334"/>
      <c r="E22" s="508" t="str" cm="1">
        <f t="array" ref="E22">IFERROR(_xlfn.IFS(AND(heattype=1,$S$23&gt;4),"Please select a heating system type.",AND(heattype=2,$S$23&gt;5),"Please select a heating system type."),"")</f>
        <v/>
      </c>
      <c r="F22" s="334"/>
      <c r="G22" s="334"/>
      <c r="H22" s="341"/>
      <c r="I22" s="334"/>
      <c r="J22" s="334"/>
      <c r="K22" s="334"/>
      <c r="L22" s="334"/>
      <c r="M22" s="334"/>
      <c r="N22" s="334"/>
      <c r="O22" s="334"/>
      <c r="P22" s="327"/>
      <c r="Q22" s="527"/>
      <c r="R22" s="527"/>
      <c r="Z22" s="527"/>
      <c r="AA22" s="527"/>
      <c r="AB22" s="527"/>
      <c r="AC22" s="527"/>
      <c r="AD22" s="527"/>
      <c r="AE22" s="527"/>
      <c r="AF22" s="527"/>
      <c r="AG22" s="527"/>
      <c r="AH22" s="527"/>
      <c r="AI22" s="527"/>
      <c r="AJ22" s="527"/>
      <c r="AK22" s="527"/>
      <c r="AL22" s="527"/>
      <c r="AM22" s="527"/>
      <c r="AN22" s="527"/>
      <c r="AO22" s="527"/>
      <c r="AP22" s="527"/>
      <c r="AQ22" s="527"/>
      <c r="AR22" s="527"/>
      <c r="AS22" s="527"/>
      <c r="AT22" s="527"/>
      <c r="CG22" s="527"/>
      <c r="CH22" s="527"/>
      <c r="CI22" s="527"/>
      <c r="CJ22" s="527"/>
      <c r="CK22" s="527"/>
      <c r="CL22" s="527"/>
      <c r="CM22" s="527"/>
      <c r="CN22" s="527"/>
      <c r="CO22" s="527"/>
      <c r="CP22" s="527"/>
      <c r="CQ22" s="527"/>
      <c r="CR22" s="527"/>
      <c r="CS22" s="527"/>
      <c r="CT22" s="527"/>
      <c r="CU22" s="527"/>
      <c r="CV22" s="527"/>
      <c r="CW22" s="527"/>
      <c r="CX22" s="527"/>
      <c r="CY22" s="527"/>
      <c r="CZ22" s="527"/>
      <c r="DA22" s="527"/>
      <c r="DB22" s="527"/>
      <c r="DC22" s="527"/>
      <c r="DD22" s="527"/>
    </row>
    <row r="23" spans="1:108" customFormat="1" x14ac:dyDescent="0.2">
      <c r="A23" s="527"/>
      <c r="B23" s="530"/>
      <c r="C23" s="334"/>
      <c r="D23" s="334"/>
      <c r="E23" s="334" t="str">
        <f>"Current " &amp; _xlfn.XLOOKUP(S21,Lists!G4:G7,Lists!H4:H7)&amp;" Heating System Type"</f>
        <v>Current Electric Heating System Type</v>
      </c>
      <c r="F23" s="561" t="s">
        <v>226</v>
      </c>
      <c r="G23" s="561"/>
      <c r="H23" s="337"/>
      <c r="I23" s="334"/>
      <c r="J23" s="334"/>
      <c r="K23" s="334"/>
      <c r="L23" s="334"/>
      <c r="M23" s="334"/>
      <c r="N23" s="334"/>
      <c r="O23" s="334"/>
      <c r="P23" s="327"/>
      <c r="Q23" s="527"/>
      <c r="R23" s="527"/>
      <c r="S23" s="550">
        <f>IFERROR(MATCH(F23,list_ElectricHeating,0),1)</f>
        <v>2</v>
      </c>
      <c r="Z23" s="527"/>
      <c r="AA23" s="527"/>
      <c r="AB23" s="527"/>
      <c r="AC23" s="527"/>
      <c r="AD23" s="527"/>
      <c r="AE23" s="527"/>
      <c r="AF23" s="527"/>
      <c r="AG23" s="527"/>
      <c r="AH23" s="527"/>
      <c r="AI23" s="527"/>
      <c r="AJ23" s="527"/>
      <c r="AK23" s="527"/>
      <c r="AL23" s="527"/>
      <c r="AM23" s="527"/>
      <c r="AN23" s="527"/>
      <c r="AO23" s="527"/>
      <c r="AP23" s="527"/>
      <c r="AQ23" s="527"/>
      <c r="AR23" s="527"/>
      <c r="AS23" s="527"/>
      <c r="AT23" s="527"/>
      <c r="CG23" s="527"/>
      <c r="CH23" s="527"/>
      <c r="CI23" s="527"/>
      <c r="CJ23" s="527"/>
      <c r="CK23" s="527"/>
      <c r="CL23" s="527"/>
      <c r="CM23" s="527"/>
      <c r="CN23" s="527"/>
      <c r="CO23" s="527"/>
      <c r="CP23" s="527"/>
      <c r="CQ23" s="527"/>
      <c r="CR23" s="527"/>
      <c r="CS23" s="527"/>
      <c r="CT23" s="527"/>
      <c r="CU23" s="527"/>
      <c r="CV23" s="527"/>
      <c r="CW23" s="527"/>
      <c r="CX23" s="527"/>
      <c r="CY23" s="527"/>
      <c r="CZ23" s="527"/>
      <c r="DA23" s="527"/>
      <c r="DB23" s="527"/>
      <c r="DC23" s="527"/>
      <c r="DD23" s="527"/>
    </row>
    <row r="24" spans="1:108" customFormat="1" x14ac:dyDescent="0.2">
      <c r="A24" s="527"/>
      <c r="B24" s="530"/>
      <c r="C24" s="334"/>
      <c r="D24" s="334"/>
      <c r="E24" s="424"/>
      <c r="F24" s="334"/>
      <c r="G24" s="334"/>
      <c r="H24" s="334"/>
      <c r="I24" s="334"/>
      <c r="J24" s="334"/>
      <c r="K24" s="334"/>
      <c r="L24" s="334"/>
      <c r="M24" s="334"/>
      <c r="N24" s="334"/>
      <c r="O24" s="334"/>
      <c r="P24" s="327"/>
      <c r="Q24" s="527"/>
      <c r="R24" s="527"/>
      <c r="Z24" s="527"/>
      <c r="AA24" s="527"/>
      <c r="AB24" s="527"/>
      <c r="AC24" s="527"/>
      <c r="AD24" s="527"/>
      <c r="AE24" s="527"/>
      <c r="AF24" s="527"/>
      <c r="AG24" s="527"/>
      <c r="AH24" s="527"/>
      <c r="AI24" s="527"/>
      <c r="AJ24" s="527"/>
      <c r="AK24" s="527"/>
      <c r="AL24" s="527"/>
      <c r="AM24" s="527"/>
      <c r="AN24" s="527"/>
      <c r="AO24" s="527"/>
      <c r="AP24" s="527"/>
      <c r="AQ24" s="527"/>
      <c r="AR24" s="527"/>
      <c r="AS24" s="527"/>
      <c r="AT24" s="527"/>
      <c r="CG24" s="527"/>
      <c r="CH24" s="527"/>
      <c r="CI24" s="527"/>
      <c r="CJ24" s="527"/>
      <c r="CK24" s="527"/>
      <c r="CL24" s="527"/>
      <c r="CM24" s="527"/>
      <c r="CN24" s="527"/>
      <c r="CO24" s="527"/>
      <c r="CP24" s="527"/>
      <c r="CQ24" s="527"/>
      <c r="CR24" s="527"/>
      <c r="CS24" s="527"/>
      <c r="CT24" s="527"/>
      <c r="CU24" s="527"/>
      <c r="CV24" s="527"/>
      <c r="CW24" s="527"/>
      <c r="CX24" s="527"/>
      <c r="CY24" s="527"/>
      <c r="CZ24" s="527"/>
      <c r="DA24" s="527"/>
      <c r="DB24" s="527"/>
      <c r="DC24" s="527"/>
      <c r="DD24" s="527"/>
    </row>
    <row r="25" spans="1:108" customFormat="1" x14ac:dyDescent="0.2">
      <c r="A25" s="527"/>
      <c r="B25" s="530"/>
      <c r="C25" s="334"/>
      <c r="D25" s="334"/>
      <c r="E25" s="341" t="s">
        <v>13</v>
      </c>
      <c r="F25" s="362" t="str">
        <f>TEXT(Calc!B9,"0.0")&amp;" MMBtu/yr"</f>
        <v>49.6 MMBtu/yr</v>
      </c>
      <c r="G25" s="334"/>
      <c r="H25" s="334"/>
      <c r="I25" s="334"/>
      <c r="J25" s="334"/>
      <c r="K25" s="334"/>
      <c r="L25" s="334"/>
      <c r="M25" s="334"/>
      <c r="N25" s="334"/>
      <c r="O25" s="334"/>
      <c r="P25" s="327"/>
      <c r="Q25" s="527"/>
      <c r="R25" s="527"/>
      <c r="Z25" s="527"/>
      <c r="AA25" s="527"/>
      <c r="AB25" s="527"/>
      <c r="AC25" s="527"/>
      <c r="AD25" s="527"/>
      <c r="AE25" s="527"/>
      <c r="AF25" s="527"/>
      <c r="AG25" s="527"/>
      <c r="AH25" s="527"/>
      <c r="AI25" s="527"/>
      <c r="AJ25" s="527"/>
      <c r="AK25" s="527"/>
      <c r="AL25" s="527"/>
      <c r="AM25" s="527"/>
      <c r="AN25" s="527"/>
      <c r="AO25" s="527"/>
      <c r="AP25" s="527"/>
      <c r="AQ25" s="527"/>
      <c r="AR25" s="527"/>
      <c r="AS25" s="527"/>
      <c r="AT25" s="527"/>
      <c r="CG25" s="527"/>
      <c r="CH25" s="527"/>
      <c r="CI25" s="527"/>
      <c r="CJ25" s="527"/>
      <c r="CK25" s="527"/>
      <c r="CL25" s="527"/>
      <c r="CM25" s="527"/>
      <c r="CN25" s="527"/>
      <c r="CO25" s="527"/>
      <c r="CP25" s="527"/>
      <c r="CQ25" s="527"/>
      <c r="CR25" s="527"/>
      <c r="CS25" s="527"/>
      <c r="CT25" s="527"/>
      <c r="CU25" s="527"/>
      <c r="CV25" s="527"/>
      <c r="CW25" s="527"/>
      <c r="CX25" s="527"/>
      <c r="CY25" s="527"/>
      <c r="CZ25" s="527"/>
      <c r="DA25" s="527"/>
      <c r="DB25" s="527"/>
      <c r="DC25" s="527"/>
      <c r="DD25" s="527"/>
    </row>
    <row r="26" spans="1:108" customFormat="1" x14ac:dyDescent="0.2">
      <c r="A26" s="527"/>
      <c r="B26" s="530"/>
      <c r="C26" s="334"/>
      <c r="D26" s="334"/>
      <c r="E26" s="334"/>
      <c r="F26" s="334"/>
      <c r="G26" s="334"/>
      <c r="H26" s="334"/>
      <c r="I26" s="334"/>
      <c r="J26" s="334"/>
      <c r="K26" s="334"/>
      <c r="L26" s="334"/>
      <c r="M26" s="334"/>
      <c r="N26" s="334"/>
      <c r="O26" s="334"/>
      <c r="P26" s="327"/>
      <c r="Q26" s="527"/>
      <c r="R26" s="527"/>
      <c r="S26" s="550">
        <f>IFERROR(MATCH(F27,list_GasHeating,0),1)</f>
        <v>1</v>
      </c>
      <c r="Z26" s="527"/>
      <c r="AA26" s="527"/>
      <c r="AB26" s="527"/>
      <c r="AC26" s="527"/>
      <c r="AD26" s="527"/>
      <c r="AE26" s="527"/>
      <c r="AF26" s="527"/>
      <c r="AG26" s="527"/>
      <c r="AH26" s="527"/>
      <c r="AI26" s="527"/>
      <c r="AJ26" s="527"/>
      <c r="AK26" s="527"/>
      <c r="AL26" s="527"/>
      <c r="AM26" s="527"/>
      <c r="AN26" s="527"/>
      <c r="AO26" s="527"/>
      <c r="AP26" s="527"/>
      <c r="AQ26" s="527"/>
      <c r="AR26" s="527"/>
      <c r="AS26" s="527"/>
      <c r="AT26" s="527"/>
      <c r="CG26" s="527"/>
      <c r="CH26" s="527"/>
      <c r="CI26" s="527"/>
      <c r="CJ26" s="527"/>
      <c r="CK26" s="527"/>
      <c r="CL26" s="527"/>
      <c r="CM26" s="527"/>
      <c r="CN26" s="527"/>
      <c r="CO26" s="527"/>
      <c r="CP26" s="527"/>
      <c r="CQ26" s="527"/>
      <c r="CR26" s="527"/>
      <c r="CS26" s="527"/>
      <c r="CT26" s="527"/>
      <c r="CU26" s="527"/>
      <c r="CV26" s="527"/>
      <c r="CW26" s="527"/>
      <c r="CX26" s="527"/>
      <c r="CY26" s="527"/>
      <c r="CZ26" s="527"/>
      <c r="DA26" s="527"/>
      <c r="DB26" s="527"/>
      <c r="DC26" s="527"/>
      <c r="DD26" s="527"/>
    </row>
    <row r="27" spans="1:108" customFormat="1" x14ac:dyDescent="0.2">
      <c r="A27" s="527"/>
      <c r="B27" s="530"/>
      <c r="C27" s="334"/>
      <c r="D27" s="334"/>
      <c r="E27" s="341" t="s">
        <v>14</v>
      </c>
      <c r="F27" s="561" t="s">
        <v>61</v>
      </c>
      <c r="G27" s="561"/>
      <c r="H27" s="337"/>
      <c r="I27" s="334"/>
      <c r="J27" s="334"/>
      <c r="K27" s="334"/>
      <c r="L27" s="334"/>
      <c r="M27" s="334"/>
      <c r="N27" s="334"/>
      <c r="O27" s="334"/>
      <c r="P27" s="327"/>
      <c r="Q27" s="527"/>
      <c r="R27" s="527"/>
      <c r="Z27" s="527"/>
      <c r="AA27" s="527"/>
      <c r="AB27" s="527"/>
      <c r="AC27" s="527"/>
      <c r="AD27" s="527"/>
      <c r="AE27" s="527"/>
      <c r="AF27" s="527"/>
      <c r="AG27" s="527"/>
      <c r="AH27" s="527"/>
      <c r="AI27" s="527"/>
      <c r="AJ27" s="527"/>
      <c r="AK27" s="527"/>
      <c r="AL27" s="527"/>
      <c r="AM27" s="527"/>
      <c r="AN27" s="527"/>
      <c r="AO27" s="527"/>
      <c r="AP27" s="527"/>
      <c r="AQ27" s="527"/>
      <c r="AR27" s="527"/>
      <c r="AS27" s="527"/>
      <c r="AT27" s="527"/>
      <c r="CG27" s="527"/>
      <c r="CH27" s="527"/>
      <c r="CI27" s="527"/>
      <c r="CJ27" s="527"/>
      <c r="CK27" s="527"/>
      <c r="CL27" s="527"/>
      <c r="CM27" s="527"/>
      <c r="CN27" s="527"/>
      <c r="CO27" s="527"/>
      <c r="CP27" s="527"/>
      <c r="CQ27" s="527"/>
      <c r="CR27" s="527"/>
      <c r="CS27" s="527"/>
      <c r="CT27" s="527"/>
      <c r="CU27" s="527"/>
      <c r="CV27" s="527"/>
      <c r="CW27" s="527"/>
      <c r="CX27" s="527"/>
      <c r="CY27" s="527"/>
      <c r="CZ27" s="527"/>
      <c r="DA27" s="527"/>
      <c r="DB27" s="527"/>
      <c r="DC27" s="527"/>
      <c r="DD27" s="527"/>
    </row>
    <row r="28" spans="1:108" customFormat="1" x14ac:dyDescent="0.2">
      <c r="A28" s="527"/>
      <c r="B28" s="530"/>
      <c r="C28" s="334"/>
      <c r="D28" s="334"/>
      <c r="E28" s="338"/>
      <c r="F28" s="334"/>
      <c r="G28" s="334"/>
      <c r="H28" s="342"/>
      <c r="I28" s="334"/>
      <c r="J28" s="334"/>
      <c r="K28" s="334"/>
      <c r="L28" s="334"/>
      <c r="M28" s="334"/>
      <c r="N28" s="334"/>
      <c r="O28" s="334"/>
      <c r="P28" s="327"/>
      <c r="Q28" s="527"/>
      <c r="R28" s="527"/>
      <c r="Z28" s="527"/>
      <c r="AA28" s="527"/>
      <c r="AB28" s="527"/>
      <c r="AC28" s="527"/>
      <c r="AD28" s="527"/>
      <c r="AE28" s="527"/>
      <c r="AF28" s="527"/>
      <c r="AG28" s="527"/>
      <c r="AH28" s="527"/>
      <c r="AI28" s="527"/>
      <c r="AJ28" s="527"/>
      <c r="AK28" s="527"/>
      <c r="AL28" s="527"/>
      <c r="AM28" s="527"/>
      <c r="AN28" s="527"/>
      <c r="AO28" s="527"/>
      <c r="AP28" s="527"/>
      <c r="AQ28" s="527"/>
      <c r="AR28" s="527"/>
      <c r="AS28" s="527"/>
      <c r="AT28" s="527"/>
      <c r="CG28" s="527"/>
      <c r="CH28" s="527"/>
      <c r="CI28" s="527"/>
      <c r="CJ28" s="527"/>
      <c r="CK28" s="527"/>
      <c r="CL28" s="527"/>
      <c r="CM28" s="527"/>
      <c r="CN28" s="527"/>
      <c r="CO28" s="527"/>
      <c r="CP28" s="527"/>
      <c r="CQ28" s="527"/>
      <c r="CR28" s="527"/>
      <c r="CS28" s="527"/>
      <c r="CT28" s="527"/>
      <c r="CU28" s="527"/>
      <c r="CV28" s="527"/>
      <c r="CW28" s="527"/>
      <c r="CX28" s="527"/>
      <c r="CY28" s="527"/>
      <c r="CZ28" s="527"/>
      <c r="DA28" s="527"/>
      <c r="DB28" s="527"/>
      <c r="DC28" s="527"/>
      <c r="DD28" s="527"/>
    </row>
    <row r="29" spans="1:108" customFormat="1" x14ac:dyDescent="0.2">
      <c r="A29" s="527"/>
      <c r="B29" s="530"/>
      <c r="C29" s="334"/>
      <c r="D29" s="334"/>
      <c r="E29" s="334"/>
      <c r="F29" s="334"/>
      <c r="G29" s="334"/>
      <c r="H29" s="334"/>
      <c r="I29" s="334"/>
      <c r="J29" s="334"/>
      <c r="K29" s="334"/>
      <c r="L29" s="334"/>
      <c r="M29" s="334"/>
      <c r="N29" s="334"/>
      <c r="O29" s="334"/>
      <c r="P29" s="327"/>
      <c r="Q29" s="527"/>
      <c r="R29" s="527"/>
      <c r="Z29" s="527"/>
      <c r="AA29" s="527"/>
      <c r="AB29" s="527"/>
      <c r="AC29" s="527"/>
      <c r="AD29" s="527"/>
      <c r="AE29" s="527"/>
      <c r="AF29" s="527"/>
      <c r="AG29" s="527"/>
      <c r="AH29" s="527"/>
      <c r="AI29" s="527"/>
      <c r="AJ29" s="527"/>
      <c r="AK29" s="527"/>
      <c r="AL29" s="527"/>
      <c r="AM29" s="527"/>
      <c r="AN29" s="527"/>
      <c r="AO29" s="527"/>
      <c r="AP29" s="527"/>
      <c r="AQ29" s="527"/>
      <c r="AR29" s="527"/>
      <c r="AS29" s="527"/>
      <c r="AT29" s="527"/>
      <c r="CG29" s="527"/>
      <c r="CH29" s="527"/>
      <c r="CI29" s="527"/>
      <c r="CJ29" s="527"/>
      <c r="CK29" s="527"/>
      <c r="CL29" s="527"/>
      <c r="CM29" s="527"/>
      <c r="CN29" s="527"/>
      <c r="CO29" s="527"/>
      <c r="CP29" s="527"/>
      <c r="CQ29" s="527"/>
      <c r="CR29" s="527"/>
      <c r="CS29" s="527"/>
      <c r="CT29" s="527"/>
      <c r="CU29" s="527"/>
      <c r="CV29" s="527"/>
      <c r="CW29" s="527"/>
      <c r="CX29" s="527"/>
      <c r="CY29" s="527"/>
      <c r="CZ29" s="527"/>
      <c r="DA29" s="527"/>
      <c r="DB29" s="527"/>
      <c r="DC29" s="527"/>
      <c r="DD29" s="527"/>
    </row>
    <row r="30" spans="1:108" customFormat="1" x14ac:dyDescent="0.2">
      <c r="A30" s="527"/>
      <c r="B30" s="530"/>
      <c r="C30" s="334"/>
      <c r="D30" s="340" t="s">
        <v>15</v>
      </c>
      <c r="E30" s="334"/>
      <c r="F30" s="334"/>
      <c r="G30" s="334"/>
      <c r="H30" s="334"/>
      <c r="I30" s="334"/>
      <c r="J30" s="334"/>
      <c r="K30" s="334"/>
      <c r="L30" s="334"/>
      <c r="M30" s="334"/>
      <c r="N30" s="334"/>
      <c r="O30" s="334"/>
      <c r="P30" s="327"/>
      <c r="Q30" s="527"/>
      <c r="R30" s="527"/>
      <c r="Z30" s="527"/>
      <c r="AA30" s="527"/>
      <c r="AB30" s="527"/>
      <c r="AC30" s="527"/>
      <c r="AD30" s="527"/>
      <c r="AE30" s="527"/>
      <c r="AF30" s="527"/>
      <c r="AG30" s="527"/>
      <c r="AH30" s="527"/>
      <c r="AI30" s="527"/>
      <c r="AJ30" s="527"/>
      <c r="AK30" s="527"/>
      <c r="AL30" s="527"/>
      <c r="AM30" s="527"/>
      <c r="AN30" s="527"/>
      <c r="AO30" s="527"/>
      <c r="AP30" s="527"/>
      <c r="AQ30" s="527"/>
      <c r="AR30" s="527"/>
      <c r="AS30" s="527"/>
      <c r="AT30" s="527"/>
      <c r="CG30" s="527"/>
      <c r="CH30" s="527"/>
      <c r="CI30" s="527"/>
      <c r="CJ30" s="527"/>
      <c r="CK30" s="527"/>
      <c r="CL30" s="527"/>
      <c r="CM30" s="527"/>
      <c r="CN30" s="527"/>
      <c r="CO30" s="527"/>
      <c r="CP30" s="527"/>
      <c r="CQ30" s="527"/>
      <c r="CR30" s="527"/>
      <c r="CS30" s="527"/>
      <c r="CT30" s="527"/>
      <c r="CU30" s="527"/>
      <c r="CV30" s="527"/>
      <c r="CW30" s="527"/>
      <c r="CX30" s="527"/>
      <c r="CY30" s="527"/>
      <c r="CZ30" s="527"/>
      <c r="DA30" s="527"/>
      <c r="DB30" s="527"/>
      <c r="DC30" s="527"/>
      <c r="DD30" s="527"/>
    </row>
    <row r="31" spans="1:108" customFormat="1" x14ac:dyDescent="0.2">
      <c r="A31" s="527"/>
      <c r="B31" s="530"/>
      <c r="C31" s="334"/>
      <c r="D31" s="334"/>
      <c r="E31" s="334"/>
      <c r="F31" s="334"/>
      <c r="G31" s="334"/>
      <c r="H31" s="334"/>
      <c r="I31" s="334"/>
      <c r="J31" s="334"/>
      <c r="K31" s="334"/>
      <c r="L31" s="334"/>
      <c r="M31" s="334"/>
      <c r="N31" s="334"/>
      <c r="O31" s="334"/>
      <c r="P31" s="327"/>
      <c r="Q31" s="527"/>
      <c r="R31" s="527"/>
      <c r="Z31" s="527"/>
      <c r="AA31" s="527"/>
      <c r="AB31" s="527"/>
      <c r="AC31" s="527"/>
      <c r="AD31" s="527"/>
      <c r="AE31" s="527"/>
      <c r="AF31" s="527"/>
      <c r="AG31" s="527"/>
      <c r="AH31" s="527"/>
      <c r="AI31" s="527"/>
      <c r="AJ31" s="527"/>
      <c r="AK31" s="527"/>
      <c r="AL31" s="527"/>
      <c r="AM31" s="527"/>
      <c r="AN31" s="527"/>
      <c r="AO31" s="527"/>
      <c r="AP31" s="527"/>
      <c r="AQ31" s="527"/>
      <c r="AR31" s="527"/>
      <c r="AS31" s="527"/>
      <c r="AT31" s="527"/>
      <c r="CG31" s="527"/>
      <c r="CH31" s="527"/>
      <c r="CI31" s="527"/>
      <c r="CJ31" s="527"/>
      <c r="CK31" s="527"/>
      <c r="CL31" s="527"/>
      <c r="CM31" s="527"/>
      <c r="CN31" s="527"/>
      <c r="CO31" s="527"/>
      <c r="CP31" s="527"/>
      <c r="CQ31" s="527"/>
      <c r="CR31" s="527"/>
      <c r="CS31" s="527"/>
      <c r="CT31" s="527"/>
      <c r="CU31" s="527"/>
      <c r="CV31" s="527"/>
      <c r="CW31" s="527"/>
      <c r="CX31" s="527"/>
      <c r="CY31" s="527"/>
      <c r="CZ31" s="527"/>
      <c r="DA31" s="527"/>
      <c r="DB31" s="527"/>
      <c r="DC31" s="527"/>
      <c r="DD31" s="527"/>
    </row>
    <row r="32" spans="1:108" customFormat="1" x14ac:dyDescent="0.2">
      <c r="A32" s="527"/>
      <c r="B32" s="530"/>
      <c r="C32" s="334"/>
      <c r="D32" s="334"/>
      <c r="E32" s="341" t="s">
        <v>16</v>
      </c>
      <c r="F32" s="330">
        <v>4</v>
      </c>
      <c r="G32" s="334"/>
      <c r="H32" s="334"/>
      <c r="I32" s="334"/>
      <c r="J32" s="334"/>
      <c r="K32" s="334"/>
      <c r="L32" s="334"/>
      <c r="M32" s="334"/>
      <c r="N32" s="334"/>
      <c r="O32" s="334"/>
      <c r="P32" s="327"/>
      <c r="Q32" s="527"/>
      <c r="R32" s="527"/>
      <c r="Z32" s="527"/>
      <c r="AA32" s="527"/>
      <c r="AB32" s="527"/>
      <c r="AC32" s="527"/>
      <c r="AD32" s="527"/>
      <c r="AE32" s="527"/>
      <c r="AF32" s="527"/>
      <c r="AG32" s="527"/>
      <c r="AH32" s="527"/>
      <c r="AI32" s="527"/>
      <c r="AJ32" s="527"/>
      <c r="AK32" s="527"/>
      <c r="AL32" s="527"/>
      <c r="AM32" s="527"/>
      <c r="AN32" s="527"/>
      <c r="AO32" s="527"/>
      <c r="AP32" s="527"/>
      <c r="AQ32" s="527"/>
      <c r="AR32" s="527"/>
      <c r="AS32" s="527"/>
      <c r="AT32" s="527"/>
      <c r="CG32" s="527"/>
      <c r="CH32" s="527"/>
      <c r="CI32" s="527"/>
      <c r="CJ32" s="527"/>
      <c r="CK32" s="527"/>
      <c r="CL32" s="527"/>
      <c r="CM32" s="527"/>
      <c r="CN32" s="527"/>
      <c r="CO32" s="527"/>
      <c r="CP32" s="527"/>
      <c r="CQ32" s="527"/>
      <c r="CR32" s="527"/>
      <c r="CS32" s="527"/>
      <c r="CT32" s="527"/>
      <c r="CU32" s="527"/>
      <c r="CV32" s="527"/>
      <c r="CW32" s="527"/>
      <c r="CX32" s="527"/>
      <c r="CY32" s="527"/>
      <c r="CZ32" s="527"/>
      <c r="DA32" s="527"/>
      <c r="DB32" s="527"/>
      <c r="DC32" s="527"/>
      <c r="DD32" s="527"/>
    </row>
    <row r="33" spans="1:108" customFormat="1" x14ac:dyDescent="0.2">
      <c r="A33" s="527"/>
      <c r="B33" s="530"/>
      <c r="C33" s="334"/>
      <c r="D33" s="334"/>
      <c r="E33" s="334"/>
      <c r="F33" s="334"/>
      <c r="G33" s="334"/>
      <c r="H33" s="334"/>
      <c r="I33" s="334"/>
      <c r="J33" s="334"/>
      <c r="K33" s="334"/>
      <c r="L33" s="334"/>
      <c r="M33" s="334"/>
      <c r="N33" s="334"/>
      <c r="O33" s="334"/>
      <c r="P33" s="327"/>
      <c r="Q33" s="527"/>
      <c r="R33" s="527"/>
      <c r="Z33" s="527"/>
      <c r="AA33" s="527"/>
      <c r="AB33" s="527"/>
      <c r="AC33" s="527"/>
      <c r="AD33" s="527"/>
      <c r="AE33" s="527"/>
      <c r="AF33" s="527"/>
      <c r="AG33" s="527"/>
      <c r="AH33" s="527"/>
      <c r="AI33" s="527"/>
      <c r="AJ33" s="527"/>
      <c r="AK33" s="527"/>
      <c r="AL33" s="527"/>
      <c r="AM33" s="527"/>
      <c r="AN33" s="527"/>
      <c r="AO33" s="527"/>
      <c r="AP33" s="527"/>
      <c r="AQ33" s="527"/>
      <c r="AR33" s="527"/>
      <c r="AS33" s="527"/>
      <c r="AT33" s="527"/>
      <c r="CG33" s="527"/>
      <c r="CH33" s="527"/>
      <c r="CI33" s="527"/>
      <c r="CJ33" s="527"/>
      <c r="CK33" s="527"/>
      <c r="CL33" s="527"/>
      <c r="CM33" s="527"/>
      <c r="CN33" s="527"/>
      <c r="CO33" s="527"/>
      <c r="CP33" s="527"/>
      <c r="CQ33" s="527"/>
      <c r="CR33" s="527"/>
      <c r="CS33" s="527"/>
      <c r="CT33" s="527"/>
      <c r="CU33" s="527"/>
      <c r="CV33" s="527"/>
      <c r="CW33" s="527"/>
      <c r="CX33" s="527"/>
      <c r="CY33" s="527"/>
      <c r="CZ33" s="527"/>
      <c r="DA33" s="527"/>
      <c r="DB33" s="527"/>
      <c r="DC33" s="527"/>
      <c r="DD33" s="527"/>
    </row>
    <row r="34" spans="1:108" customFormat="1" x14ac:dyDescent="0.2">
      <c r="A34" s="527"/>
      <c r="B34" s="530"/>
      <c r="C34" s="334"/>
      <c r="D34" s="334"/>
      <c r="E34" s="341" t="s">
        <v>17</v>
      </c>
      <c r="F34" s="1" t="s">
        <v>62</v>
      </c>
      <c r="G34" s="334"/>
      <c r="H34" s="334"/>
      <c r="I34" s="334"/>
      <c r="J34" s="334"/>
      <c r="K34" s="334"/>
      <c r="L34" s="334"/>
      <c r="M34" s="334"/>
      <c r="N34" s="334"/>
      <c r="O34" s="334"/>
      <c r="P34" s="327"/>
      <c r="Q34" s="527"/>
      <c r="R34" s="527"/>
      <c r="S34" s="334">
        <f>IFERROR(MATCH(F34,list_EnergySource,0),1)</f>
        <v>1</v>
      </c>
      <c r="Z34" s="527"/>
      <c r="AA34" s="527"/>
      <c r="AB34" s="527"/>
      <c r="AC34" s="527"/>
      <c r="AD34" s="527"/>
      <c r="AE34" s="527"/>
      <c r="AF34" s="527"/>
      <c r="AG34" s="527"/>
      <c r="AH34" s="527"/>
      <c r="AI34" s="527"/>
      <c r="AJ34" s="527"/>
      <c r="AK34" s="527"/>
      <c r="AL34" s="527"/>
      <c r="AM34" s="527"/>
      <c r="AN34" s="527"/>
      <c r="AO34" s="527"/>
      <c r="AP34" s="527"/>
      <c r="AQ34" s="527"/>
      <c r="AR34" s="527"/>
      <c r="AS34" s="527"/>
      <c r="AT34" s="527"/>
      <c r="CG34" s="527"/>
      <c r="CH34" s="527"/>
      <c r="CI34" s="527"/>
      <c r="CJ34" s="527"/>
      <c r="CK34" s="527"/>
      <c r="CL34" s="527"/>
      <c r="CM34" s="527"/>
      <c r="CN34" s="527"/>
      <c r="CO34" s="527"/>
      <c r="CP34" s="527"/>
      <c r="CQ34" s="527"/>
      <c r="CR34" s="527"/>
      <c r="CS34" s="527"/>
      <c r="CT34" s="527"/>
      <c r="CU34" s="527"/>
      <c r="CV34" s="527"/>
      <c r="CW34" s="527"/>
      <c r="CX34" s="527"/>
      <c r="CY34" s="527"/>
      <c r="CZ34" s="527"/>
      <c r="DA34" s="527"/>
      <c r="DB34" s="527"/>
      <c r="DC34" s="527"/>
      <c r="DD34" s="527"/>
    </row>
    <row r="35" spans="1:108" customFormat="1" x14ac:dyDescent="0.2">
      <c r="A35" s="527"/>
      <c r="B35" s="530"/>
      <c r="C35" s="334"/>
      <c r="D35" s="334"/>
      <c r="E35" s="508" t="str" cm="1">
        <f t="array" ref="E35">IFERROR(_xlfn.IFS(AND(wheattype=1,$S$36&gt;4),"Please select a water heating system type.",AND(wheattype=2,$S$36&gt;2),"Please select a water heating system type."),"")</f>
        <v/>
      </c>
      <c r="F35" s="334"/>
      <c r="G35" s="334"/>
      <c r="H35" s="334"/>
      <c r="I35" s="334"/>
      <c r="J35" s="334"/>
      <c r="K35" s="334"/>
      <c r="L35" s="334"/>
      <c r="M35" s="334"/>
      <c r="N35" s="334"/>
      <c r="O35" s="334"/>
      <c r="P35" s="327"/>
      <c r="Q35" s="527"/>
      <c r="R35" s="527"/>
      <c r="Z35" s="527"/>
      <c r="AA35" s="527"/>
      <c r="AB35" s="527"/>
      <c r="AC35" s="527"/>
      <c r="AD35" s="527"/>
      <c r="AE35" s="527"/>
      <c r="AF35" s="527"/>
      <c r="AG35" s="527"/>
      <c r="AH35" s="527"/>
      <c r="AI35" s="527"/>
      <c r="AJ35" s="527"/>
      <c r="AK35" s="527"/>
      <c r="AL35" s="527"/>
      <c r="AM35" s="527"/>
      <c r="AN35" s="527"/>
      <c r="AO35" s="527"/>
      <c r="AP35" s="527"/>
      <c r="AQ35" s="527"/>
      <c r="AR35" s="527"/>
      <c r="AS35" s="527"/>
      <c r="AT35" s="527"/>
      <c r="CG35" s="527"/>
      <c r="CH35" s="527"/>
      <c r="CI35" s="527"/>
      <c r="CJ35" s="527"/>
      <c r="CK35" s="527"/>
      <c r="CL35" s="527"/>
      <c r="CM35" s="527"/>
      <c r="CN35" s="527"/>
      <c r="CO35" s="527"/>
      <c r="CP35" s="527"/>
      <c r="CQ35" s="527"/>
      <c r="CR35" s="527"/>
      <c r="CS35" s="527"/>
      <c r="CT35" s="527"/>
      <c r="CU35" s="527"/>
      <c r="CV35" s="527"/>
      <c r="CW35" s="527"/>
      <c r="CX35" s="527"/>
      <c r="CY35" s="527"/>
      <c r="CZ35" s="527"/>
      <c r="DA35" s="527"/>
      <c r="DB35" s="527"/>
      <c r="DC35" s="527"/>
      <c r="DD35" s="527"/>
    </row>
    <row r="36" spans="1:108" customFormat="1" x14ac:dyDescent="0.2">
      <c r="A36" s="527"/>
      <c r="B36" s="530"/>
      <c r="C36" s="334"/>
      <c r="D36" s="334"/>
      <c r="E36" s="334" t="str">
        <f>"Current " &amp; _xlfn.XLOOKUP(S34,Lists!G4:G7,Lists!H4:H7)&amp;" Water Heating System Type"</f>
        <v>Current Electric Water Heating System Type</v>
      </c>
      <c r="F36" s="561" t="s">
        <v>260</v>
      </c>
      <c r="G36" s="561"/>
      <c r="H36" s="334"/>
      <c r="I36" s="334"/>
      <c r="J36" s="334"/>
      <c r="K36" s="334"/>
      <c r="L36" s="334"/>
      <c r="M36" s="334"/>
      <c r="N36" s="334"/>
      <c r="O36" s="334"/>
      <c r="P36" s="327"/>
      <c r="Q36" s="527"/>
      <c r="R36" s="527"/>
      <c r="S36" s="550">
        <f>IFERROR(MATCH(F36,list_WaterElectricSystem,0),1)</f>
        <v>1</v>
      </c>
      <c r="Z36" s="527"/>
      <c r="AA36" s="527"/>
      <c r="AB36" s="527"/>
      <c r="AC36" s="527"/>
      <c r="AD36" s="527"/>
      <c r="AE36" s="527"/>
      <c r="AF36" s="527"/>
      <c r="AG36" s="527"/>
      <c r="AH36" s="527"/>
      <c r="AI36" s="527"/>
      <c r="AJ36" s="527"/>
      <c r="AK36" s="527"/>
      <c r="AL36" s="527"/>
      <c r="AM36" s="527"/>
      <c r="AN36" s="527"/>
      <c r="AO36" s="527"/>
      <c r="AP36" s="527"/>
      <c r="AQ36" s="527"/>
      <c r="AR36" s="527"/>
      <c r="AS36" s="527"/>
      <c r="AT36" s="527"/>
      <c r="CG36" s="527"/>
      <c r="CH36" s="527"/>
      <c r="CI36" s="527"/>
      <c r="CJ36" s="527"/>
      <c r="CK36" s="527"/>
      <c r="CL36" s="527"/>
      <c r="CM36" s="527"/>
      <c r="CN36" s="527"/>
      <c r="CO36" s="527"/>
      <c r="CP36" s="527"/>
      <c r="CQ36" s="527"/>
      <c r="CR36" s="527"/>
      <c r="CS36" s="527"/>
      <c r="CT36" s="527"/>
      <c r="CU36" s="527"/>
      <c r="CV36" s="527"/>
      <c r="CW36" s="527"/>
      <c r="CX36" s="527"/>
      <c r="CY36" s="527"/>
      <c r="CZ36" s="527"/>
      <c r="DA36" s="527"/>
      <c r="DB36" s="527"/>
      <c r="DC36" s="527"/>
      <c r="DD36" s="527"/>
    </row>
    <row r="37" spans="1:108" customFormat="1" x14ac:dyDescent="0.2">
      <c r="A37" s="527"/>
      <c r="B37" s="530"/>
      <c r="C37" s="334"/>
      <c r="D37" s="334"/>
      <c r="E37" s="424"/>
      <c r="F37" s="334"/>
      <c r="G37" s="334"/>
      <c r="H37" s="334"/>
      <c r="I37" s="334"/>
      <c r="J37" s="334"/>
      <c r="K37" s="334"/>
      <c r="L37" s="334"/>
      <c r="M37" s="334"/>
      <c r="N37" s="334"/>
      <c r="O37" s="334"/>
      <c r="P37" s="327"/>
      <c r="Q37" s="527"/>
      <c r="R37" s="527"/>
      <c r="Z37" s="527"/>
      <c r="AA37" s="527"/>
      <c r="AB37" s="527"/>
      <c r="AC37" s="527"/>
      <c r="AD37" s="527"/>
      <c r="AE37" s="527"/>
      <c r="AF37" s="527"/>
      <c r="AG37" s="527"/>
      <c r="AH37" s="527"/>
      <c r="AI37" s="527"/>
      <c r="AJ37" s="527"/>
      <c r="AK37" s="527"/>
      <c r="AL37" s="527"/>
      <c r="AM37" s="527"/>
      <c r="AN37" s="527"/>
      <c r="AO37" s="527"/>
      <c r="AP37" s="527"/>
      <c r="AQ37" s="527"/>
      <c r="AR37" s="527"/>
      <c r="AS37" s="527"/>
      <c r="AT37" s="527"/>
      <c r="CG37" s="527"/>
      <c r="CH37" s="527"/>
      <c r="CI37" s="527"/>
      <c r="CJ37" s="527"/>
      <c r="CK37" s="527"/>
      <c r="CL37" s="527"/>
      <c r="CM37" s="527"/>
      <c r="CN37" s="527"/>
      <c r="CO37" s="527"/>
      <c r="CP37" s="527"/>
      <c r="CQ37" s="527"/>
      <c r="CR37" s="527"/>
      <c r="CS37" s="527"/>
      <c r="CT37" s="527"/>
      <c r="CU37" s="527"/>
      <c r="CV37" s="527"/>
      <c r="CW37" s="527"/>
      <c r="CX37" s="527"/>
      <c r="CY37" s="527"/>
      <c r="CZ37" s="527"/>
      <c r="DA37" s="527"/>
      <c r="DB37" s="527"/>
      <c r="DC37" s="527"/>
      <c r="DD37" s="527"/>
    </row>
    <row r="38" spans="1:108" customFormat="1" x14ac:dyDescent="0.2">
      <c r="A38" s="527"/>
      <c r="B38" s="530"/>
      <c r="C38" s="334"/>
      <c r="D38" s="334"/>
      <c r="E38" s="341" t="s">
        <v>18</v>
      </c>
      <c r="F38" s="360">
        <f>Calc!B30</f>
        <v>16.329005000000002</v>
      </c>
      <c r="G38" s="341" t="s">
        <v>19</v>
      </c>
      <c r="H38" s="334"/>
      <c r="I38" s="334"/>
      <c r="J38" s="334"/>
      <c r="K38" s="334"/>
      <c r="L38" s="334"/>
      <c r="M38" s="334"/>
      <c r="N38" s="334"/>
      <c r="O38" s="334"/>
      <c r="P38" s="327"/>
      <c r="Q38" s="527"/>
      <c r="R38" s="527"/>
      <c r="Z38" s="527"/>
      <c r="AA38" s="527"/>
      <c r="AB38" s="527"/>
      <c r="AC38" s="527"/>
      <c r="AD38" s="527"/>
      <c r="AE38" s="527"/>
      <c r="AF38" s="527"/>
      <c r="AG38" s="527"/>
      <c r="AH38" s="527"/>
      <c r="AI38" s="527"/>
      <c r="AJ38" s="527"/>
      <c r="AK38" s="527"/>
      <c r="AL38" s="527"/>
      <c r="AM38" s="527"/>
      <c r="AN38" s="527"/>
      <c r="AO38" s="527"/>
      <c r="AP38" s="527"/>
      <c r="AQ38" s="527"/>
      <c r="AR38" s="527"/>
      <c r="AS38" s="527"/>
      <c r="AT38" s="527"/>
      <c r="CG38" s="527"/>
      <c r="CH38" s="527"/>
      <c r="CI38" s="527"/>
      <c r="CJ38" s="527"/>
      <c r="CK38" s="527"/>
      <c r="CL38" s="527"/>
      <c r="CM38" s="527"/>
      <c r="CN38" s="527"/>
      <c r="CO38" s="527"/>
      <c r="CP38" s="527"/>
      <c r="CQ38" s="527"/>
      <c r="CR38" s="527"/>
      <c r="CS38" s="527"/>
      <c r="CT38" s="527"/>
      <c r="CU38" s="527"/>
      <c r="CV38" s="527"/>
      <c r="CW38" s="527"/>
      <c r="CX38" s="527"/>
      <c r="CY38" s="527"/>
      <c r="CZ38" s="527"/>
      <c r="DA38" s="527"/>
      <c r="DB38" s="527"/>
      <c r="DC38" s="527"/>
      <c r="DD38" s="527"/>
    </row>
    <row r="39" spans="1:108" customFormat="1" x14ac:dyDescent="0.2">
      <c r="A39" s="527"/>
      <c r="B39" s="530"/>
      <c r="C39" s="334"/>
      <c r="D39" s="334"/>
      <c r="E39" s="334"/>
      <c r="F39" s="334"/>
      <c r="G39" s="334"/>
      <c r="H39" s="334"/>
      <c r="I39" s="334"/>
      <c r="J39" s="334"/>
      <c r="K39" s="334"/>
      <c r="L39" s="334"/>
      <c r="M39" s="334"/>
      <c r="N39" s="334"/>
      <c r="O39" s="334"/>
      <c r="P39" s="327"/>
      <c r="Q39" s="527"/>
      <c r="R39" s="527"/>
      <c r="Z39" s="527"/>
      <c r="AA39" s="527"/>
      <c r="AB39" s="527"/>
      <c r="AC39" s="527"/>
      <c r="AD39" s="527"/>
      <c r="AE39" s="527"/>
      <c r="AF39" s="527"/>
      <c r="AG39" s="527"/>
      <c r="AH39" s="527"/>
      <c r="AI39" s="527"/>
      <c r="AJ39" s="527"/>
      <c r="AK39" s="527"/>
      <c r="AL39" s="527"/>
      <c r="AM39" s="527"/>
      <c r="AN39" s="527"/>
      <c r="AO39" s="527"/>
      <c r="AP39" s="527"/>
      <c r="AQ39" s="527"/>
      <c r="AR39" s="527"/>
      <c r="AS39" s="527"/>
      <c r="AT39" s="527"/>
      <c r="CG39" s="527"/>
      <c r="CH39" s="527"/>
      <c r="CI39" s="527"/>
      <c r="CJ39" s="527"/>
      <c r="CK39" s="527"/>
      <c r="CL39" s="527"/>
      <c r="CM39" s="527"/>
      <c r="CN39" s="527"/>
      <c r="CO39" s="527"/>
      <c r="CP39" s="527"/>
      <c r="CQ39" s="527"/>
      <c r="CR39" s="527"/>
      <c r="CS39" s="527"/>
      <c r="CT39" s="527"/>
      <c r="CU39" s="527"/>
      <c r="CV39" s="527"/>
      <c r="CW39" s="527"/>
      <c r="CX39" s="527"/>
      <c r="CY39" s="527"/>
      <c r="CZ39" s="527"/>
      <c r="DA39" s="527"/>
      <c r="DB39" s="527"/>
      <c r="DC39" s="527"/>
      <c r="DD39" s="527"/>
    </row>
    <row r="40" spans="1:108" customFormat="1" x14ac:dyDescent="0.2">
      <c r="A40" s="527"/>
      <c r="B40" s="530"/>
      <c r="C40" s="334"/>
      <c r="D40" s="334"/>
      <c r="E40" s="341" t="s">
        <v>20</v>
      </c>
      <c r="F40" s="561" t="s">
        <v>240</v>
      </c>
      <c r="G40" s="561"/>
      <c r="H40" s="334"/>
      <c r="I40" s="334"/>
      <c r="J40" s="334"/>
      <c r="K40" s="334"/>
      <c r="L40" s="334"/>
      <c r="M40" s="334"/>
      <c r="N40" s="334"/>
      <c r="O40" s="334"/>
      <c r="P40" s="327"/>
      <c r="Q40" s="527"/>
      <c r="R40" s="527"/>
      <c r="S40" s="550">
        <f>IFERROR(MATCH(F40,list_WaterHeatingGas,0),1)</f>
        <v>1</v>
      </c>
      <c r="Z40" s="527"/>
      <c r="AA40" s="527"/>
      <c r="AB40" s="527"/>
      <c r="AC40" s="527"/>
      <c r="AD40" s="527"/>
      <c r="AE40" s="527"/>
      <c r="AF40" s="527"/>
      <c r="AG40" s="527"/>
      <c r="AH40" s="527"/>
      <c r="AI40" s="527"/>
      <c r="AJ40" s="527"/>
      <c r="AK40" s="527"/>
      <c r="AL40" s="527"/>
      <c r="AM40" s="527"/>
      <c r="AN40" s="527"/>
      <c r="AO40" s="527"/>
      <c r="AP40" s="527"/>
      <c r="AQ40" s="527"/>
      <c r="AR40" s="527"/>
      <c r="AS40" s="527"/>
      <c r="AT40" s="527"/>
      <c r="CG40" s="527"/>
      <c r="CH40" s="527"/>
      <c r="CI40" s="527"/>
      <c r="CJ40" s="527"/>
      <c r="CK40" s="527"/>
      <c r="CL40" s="527"/>
      <c r="CM40" s="527"/>
      <c r="CN40" s="527"/>
      <c r="CO40" s="527"/>
      <c r="CP40" s="527"/>
      <c r="CQ40" s="527"/>
      <c r="CR40" s="527"/>
      <c r="CS40" s="527"/>
      <c r="CT40" s="527"/>
      <c r="CU40" s="527"/>
      <c r="CV40" s="527"/>
      <c r="CW40" s="527"/>
      <c r="CX40" s="527"/>
      <c r="CY40" s="527"/>
      <c r="CZ40" s="527"/>
      <c r="DA40" s="527"/>
      <c r="DB40" s="527"/>
      <c r="DC40" s="527"/>
      <c r="DD40" s="527"/>
    </row>
    <row r="41" spans="1:108" customFormat="1" x14ac:dyDescent="0.2">
      <c r="A41" s="527"/>
      <c r="B41" s="530"/>
      <c r="C41" s="334"/>
      <c r="D41" s="334"/>
      <c r="E41" s="338"/>
      <c r="F41" s="334"/>
      <c r="G41" s="334"/>
      <c r="H41" s="334"/>
      <c r="I41" s="334"/>
      <c r="J41" s="334"/>
      <c r="K41" s="334"/>
      <c r="L41" s="334"/>
      <c r="M41" s="334"/>
      <c r="N41" s="334"/>
      <c r="O41" s="334"/>
      <c r="P41" s="327"/>
      <c r="Q41" s="527"/>
      <c r="R41" s="527"/>
      <c r="Z41" s="527"/>
      <c r="AA41" s="527"/>
      <c r="AB41" s="527"/>
      <c r="AC41" s="527"/>
      <c r="AD41" s="527"/>
      <c r="AE41" s="527"/>
      <c r="AF41" s="527"/>
      <c r="AG41" s="527"/>
      <c r="AH41" s="527"/>
      <c r="AI41" s="527"/>
      <c r="AJ41" s="527"/>
      <c r="AK41" s="527"/>
      <c r="AL41" s="527"/>
      <c r="AM41" s="527"/>
      <c r="AN41" s="527"/>
      <c r="AO41" s="527"/>
      <c r="AP41" s="527"/>
      <c r="AQ41" s="527"/>
      <c r="AR41" s="527"/>
      <c r="AS41" s="527"/>
      <c r="AT41" s="527"/>
      <c r="CG41" s="527"/>
      <c r="CH41" s="527"/>
      <c r="CI41" s="527"/>
      <c r="CJ41" s="527"/>
      <c r="CK41" s="527"/>
      <c r="CL41" s="527"/>
      <c r="CM41" s="527"/>
      <c r="CN41" s="527"/>
      <c r="CO41" s="527"/>
      <c r="CP41" s="527"/>
      <c r="CQ41" s="527"/>
      <c r="CR41" s="527"/>
      <c r="CS41" s="527"/>
      <c r="CT41" s="527"/>
      <c r="CU41" s="527"/>
      <c r="CV41" s="527"/>
      <c r="CW41" s="527"/>
      <c r="CX41" s="527"/>
      <c r="CY41" s="527"/>
      <c r="CZ41" s="527"/>
      <c r="DA41" s="527"/>
      <c r="DB41" s="527"/>
      <c r="DC41" s="527"/>
      <c r="DD41" s="527"/>
    </row>
    <row r="42" spans="1:108" customFormat="1" x14ac:dyDescent="0.2">
      <c r="A42" s="527"/>
      <c r="B42" s="530"/>
      <c r="C42" s="334"/>
      <c r="D42" s="340" t="s">
        <v>21</v>
      </c>
      <c r="E42" s="334"/>
      <c r="F42" s="334"/>
      <c r="G42" s="334"/>
      <c r="H42" s="334"/>
      <c r="I42" s="334"/>
      <c r="J42" s="334"/>
      <c r="K42" s="334"/>
      <c r="L42" s="334"/>
      <c r="M42" s="334"/>
      <c r="N42" s="334"/>
      <c r="O42" s="334"/>
      <c r="P42" s="327"/>
      <c r="Q42" s="527"/>
      <c r="R42" s="527"/>
      <c r="Z42" s="527"/>
      <c r="AA42" s="527"/>
      <c r="AB42" s="527"/>
      <c r="AC42" s="527"/>
      <c r="AD42" s="527"/>
      <c r="AE42" s="527"/>
      <c r="AF42" s="527"/>
      <c r="AG42" s="527"/>
      <c r="AH42" s="527"/>
      <c r="AI42" s="527"/>
      <c r="AJ42" s="527"/>
      <c r="AK42" s="527"/>
      <c r="AL42" s="527"/>
      <c r="AM42" s="527"/>
      <c r="AN42" s="527"/>
      <c r="AO42" s="527"/>
      <c r="AP42" s="527"/>
      <c r="AQ42" s="527"/>
      <c r="AR42" s="527"/>
      <c r="AS42" s="527"/>
      <c r="AT42" s="527"/>
      <c r="CG42" s="527"/>
      <c r="CH42" s="527"/>
      <c r="CI42" s="527"/>
      <c r="CJ42" s="527"/>
      <c r="CK42" s="527"/>
      <c r="CL42" s="527"/>
      <c r="CM42" s="527"/>
      <c r="CN42" s="527"/>
      <c r="CO42" s="527"/>
      <c r="CP42" s="527"/>
      <c r="CQ42" s="527"/>
      <c r="CR42" s="527"/>
      <c r="CS42" s="527"/>
      <c r="CT42" s="527"/>
      <c r="CU42" s="527"/>
      <c r="CV42" s="527"/>
      <c r="CW42" s="527"/>
      <c r="CX42" s="527"/>
      <c r="CY42" s="527"/>
      <c r="CZ42" s="527"/>
      <c r="DA42" s="527"/>
      <c r="DB42" s="527"/>
      <c r="DC42" s="527"/>
      <c r="DD42" s="527"/>
    </row>
    <row r="43" spans="1:108" customFormat="1" x14ac:dyDescent="0.2">
      <c r="A43" s="527"/>
      <c r="B43" s="530"/>
      <c r="C43" s="334"/>
      <c r="D43" s="340"/>
      <c r="E43" s="334"/>
      <c r="F43" s="334"/>
      <c r="G43" s="334"/>
      <c r="H43" s="334"/>
      <c r="I43" s="334"/>
      <c r="J43" s="334"/>
      <c r="K43" s="334"/>
      <c r="L43" s="334"/>
      <c r="M43" s="334"/>
      <c r="N43" s="334"/>
      <c r="O43" s="334"/>
      <c r="P43" s="327"/>
      <c r="Q43" s="527"/>
      <c r="R43" s="527"/>
      <c r="Z43" s="527"/>
      <c r="AA43" s="527"/>
      <c r="AB43" s="527"/>
      <c r="AC43" s="527"/>
      <c r="AD43" s="527"/>
      <c r="AE43" s="527"/>
      <c r="AF43" s="527"/>
      <c r="AG43" s="527"/>
      <c r="AH43" s="527"/>
      <c r="AI43" s="527"/>
      <c r="AJ43" s="527"/>
      <c r="AK43" s="527"/>
      <c r="AL43" s="527"/>
      <c r="AM43" s="527"/>
      <c r="AN43" s="527"/>
      <c r="AO43" s="527"/>
      <c r="AP43" s="527"/>
      <c r="AQ43" s="527"/>
      <c r="AR43" s="527"/>
      <c r="AS43" s="527"/>
      <c r="AT43" s="527"/>
      <c r="CG43" s="527"/>
      <c r="CH43" s="527"/>
      <c r="CI43" s="527"/>
      <c r="CJ43" s="527"/>
      <c r="CK43" s="527"/>
      <c r="CL43" s="527"/>
      <c r="CM43" s="527"/>
      <c r="CN43" s="527"/>
      <c r="CO43" s="527"/>
      <c r="CP43" s="527"/>
      <c r="CQ43" s="527"/>
      <c r="CR43" s="527"/>
      <c r="CS43" s="527"/>
      <c r="CT43" s="527"/>
      <c r="CU43" s="527"/>
      <c r="CV43" s="527"/>
      <c r="CW43" s="527"/>
      <c r="CX43" s="527"/>
      <c r="CY43" s="527"/>
      <c r="CZ43" s="527"/>
      <c r="DA43" s="527"/>
      <c r="DB43" s="527"/>
      <c r="DC43" s="527"/>
      <c r="DD43" s="527"/>
    </row>
    <row r="44" spans="1:108" customFormat="1" x14ac:dyDescent="0.2">
      <c r="A44" s="527"/>
      <c r="B44" s="530"/>
      <c r="C44" s="334"/>
      <c r="D44" s="334"/>
      <c r="E44" s="334" t="s">
        <v>22</v>
      </c>
      <c r="F44" s="1" t="s">
        <v>62</v>
      </c>
      <c r="G44" s="334"/>
      <c r="H44" s="334"/>
      <c r="I44" s="334"/>
      <c r="J44" s="334"/>
      <c r="K44" s="334"/>
      <c r="L44" s="334"/>
      <c r="M44" s="334"/>
      <c r="N44" s="334"/>
      <c r="O44" s="334"/>
      <c r="P44" s="327"/>
      <c r="Q44" s="527"/>
      <c r="R44" s="527"/>
      <c r="S44" s="334">
        <f>IFERROR(MATCH(F44,list_Dryer,0),1)</f>
        <v>1</v>
      </c>
      <c r="Z44" s="527"/>
      <c r="AA44" s="527"/>
      <c r="AB44" s="527"/>
      <c r="AC44" s="527"/>
      <c r="AD44" s="527"/>
      <c r="AE44" s="527"/>
      <c r="AF44" s="527"/>
      <c r="AG44" s="527"/>
      <c r="AH44" s="527"/>
      <c r="AI44" s="527"/>
      <c r="AJ44" s="527"/>
      <c r="AK44" s="527"/>
      <c r="AL44" s="527"/>
      <c r="AM44" s="527"/>
      <c r="AN44" s="527"/>
      <c r="AO44" s="527"/>
      <c r="AP44" s="527"/>
      <c r="AQ44" s="527"/>
      <c r="AR44" s="527"/>
      <c r="AS44" s="527"/>
      <c r="AT44" s="527"/>
      <c r="CG44" s="527"/>
      <c r="CH44" s="527"/>
      <c r="CI44" s="527"/>
      <c r="CJ44" s="527"/>
      <c r="CK44" s="527"/>
      <c r="CL44" s="527"/>
      <c r="CM44" s="527"/>
      <c r="CN44" s="527"/>
      <c r="CO44" s="527"/>
      <c r="CP44" s="527"/>
      <c r="CQ44" s="527"/>
      <c r="CR44" s="527"/>
      <c r="CS44" s="527"/>
      <c r="CT44" s="527"/>
      <c r="CU44" s="527"/>
      <c r="CV44" s="527"/>
      <c r="CW44" s="527"/>
      <c r="CX44" s="527"/>
      <c r="CY44" s="527"/>
      <c r="CZ44" s="527"/>
      <c r="DA44" s="527"/>
      <c r="DB44" s="527"/>
      <c r="DC44" s="527"/>
      <c r="DD44" s="527"/>
    </row>
    <row r="45" spans="1:108" customFormat="1" x14ac:dyDescent="0.2">
      <c r="A45" s="527"/>
      <c r="B45" s="530"/>
      <c r="C45" s="334"/>
      <c r="D45" s="334"/>
      <c r="E45" s="334"/>
      <c r="F45" s="334"/>
      <c r="G45" s="334"/>
      <c r="H45" s="334"/>
      <c r="I45" s="334"/>
      <c r="J45" s="334"/>
      <c r="K45" s="334"/>
      <c r="L45" s="334"/>
      <c r="M45" s="334"/>
      <c r="N45" s="334"/>
      <c r="O45" s="334"/>
      <c r="P45" s="327"/>
      <c r="Q45" s="527"/>
      <c r="R45" s="527"/>
      <c r="Z45" s="527"/>
      <c r="AA45" s="527"/>
      <c r="AB45" s="527"/>
      <c r="AC45" s="527"/>
      <c r="AD45" s="527"/>
      <c r="AE45" s="527"/>
      <c r="AF45" s="527"/>
      <c r="AG45" s="527"/>
      <c r="AH45" s="527"/>
      <c r="AI45" s="527"/>
      <c r="AJ45" s="527"/>
      <c r="AK45" s="527"/>
      <c r="AL45" s="527"/>
      <c r="AM45" s="527"/>
      <c r="AN45" s="527"/>
      <c r="AO45" s="527"/>
      <c r="AP45" s="527"/>
      <c r="AQ45" s="527"/>
      <c r="AR45" s="527"/>
      <c r="AS45" s="527"/>
      <c r="AT45" s="527"/>
      <c r="CG45" s="527"/>
      <c r="CH45" s="527"/>
      <c r="CI45" s="527"/>
      <c r="CJ45" s="527"/>
      <c r="CK45" s="527"/>
      <c r="CL45" s="527"/>
      <c r="CM45" s="527"/>
      <c r="CN45" s="527"/>
      <c r="CO45" s="527"/>
      <c r="CP45" s="527"/>
      <c r="CQ45" s="527"/>
      <c r="CR45" s="527"/>
      <c r="CS45" s="527"/>
      <c r="CT45" s="527"/>
      <c r="CU45" s="527"/>
      <c r="CV45" s="527"/>
      <c r="CW45" s="527"/>
      <c r="CX45" s="527"/>
      <c r="CY45" s="527"/>
      <c r="CZ45" s="527"/>
      <c r="DA45" s="527"/>
      <c r="DB45" s="527"/>
      <c r="DC45" s="527"/>
      <c r="DD45" s="527"/>
    </row>
    <row r="46" spans="1:108" customFormat="1" x14ac:dyDescent="0.2">
      <c r="A46" s="527"/>
      <c r="B46" s="530"/>
      <c r="C46" s="334"/>
      <c r="D46" s="334"/>
      <c r="E46" s="341" t="s">
        <v>23</v>
      </c>
      <c r="F46" s="330">
        <v>8</v>
      </c>
      <c r="G46" s="334"/>
      <c r="H46" s="343"/>
      <c r="I46" s="334"/>
      <c r="J46" s="334"/>
      <c r="K46" s="334"/>
      <c r="L46" s="334"/>
      <c r="M46" s="334"/>
      <c r="N46" s="334"/>
      <c r="O46" s="334"/>
      <c r="P46" s="327"/>
      <c r="Q46" s="527"/>
      <c r="R46" s="527"/>
      <c r="Z46" s="527"/>
      <c r="AA46" s="527"/>
      <c r="AB46" s="527"/>
      <c r="AC46" s="527"/>
      <c r="AD46" s="527"/>
      <c r="AE46" s="527"/>
      <c r="AF46" s="527"/>
      <c r="AG46" s="527"/>
      <c r="AH46" s="527"/>
      <c r="AI46" s="527"/>
      <c r="AJ46" s="527"/>
      <c r="AK46" s="527"/>
      <c r="AL46" s="527"/>
      <c r="AM46" s="527"/>
      <c r="AN46" s="527"/>
      <c r="AO46" s="527"/>
      <c r="AP46" s="527"/>
      <c r="AQ46" s="527"/>
      <c r="AR46" s="527"/>
      <c r="AS46" s="527"/>
      <c r="AT46" s="527"/>
      <c r="CG46" s="527"/>
      <c r="CH46" s="527"/>
      <c r="CI46" s="527"/>
      <c r="CJ46" s="527"/>
      <c r="CK46" s="527"/>
      <c r="CL46" s="527"/>
      <c r="CM46" s="527"/>
      <c r="CN46" s="527"/>
      <c r="CO46" s="527"/>
      <c r="CP46" s="527"/>
      <c r="CQ46" s="527"/>
      <c r="CR46" s="527"/>
      <c r="CS46" s="527"/>
      <c r="CT46" s="527"/>
      <c r="CU46" s="527"/>
      <c r="CV46" s="527"/>
      <c r="CW46" s="527"/>
      <c r="CX46" s="527"/>
      <c r="CY46" s="527"/>
      <c r="CZ46" s="527"/>
      <c r="DA46" s="527"/>
      <c r="DB46" s="527"/>
      <c r="DC46" s="527"/>
      <c r="DD46" s="527"/>
    </row>
    <row r="47" spans="1:108" customFormat="1" x14ac:dyDescent="0.2">
      <c r="A47" s="527"/>
      <c r="B47" s="530"/>
      <c r="C47" s="334"/>
      <c r="D47" s="334"/>
      <c r="E47" s="334"/>
      <c r="F47" s="334"/>
      <c r="G47" s="334"/>
      <c r="H47" s="334"/>
      <c r="I47" s="334"/>
      <c r="J47" s="334"/>
      <c r="K47" s="334"/>
      <c r="L47" s="334"/>
      <c r="M47" s="334"/>
      <c r="N47" s="334"/>
      <c r="O47" s="334"/>
      <c r="P47" s="327"/>
      <c r="Q47" s="527"/>
      <c r="R47" s="527"/>
      <c r="Z47" s="527"/>
      <c r="AA47" s="527"/>
      <c r="AB47" s="527"/>
      <c r="AC47" s="527"/>
      <c r="AD47" s="527"/>
      <c r="AE47" s="527"/>
      <c r="AF47" s="527"/>
      <c r="AG47" s="527"/>
      <c r="AH47" s="527"/>
      <c r="AI47" s="527"/>
      <c r="AJ47" s="527"/>
      <c r="AK47" s="527"/>
      <c r="AL47" s="527"/>
      <c r="AM47" s="527"/>
      <c r="AN47" s="527"/>
      <c r="AO47" s="527"/>
      <c r="AP47" s="527"/>
      <c r="AQ47" s="527"/>
      <c r="AR47" s="527"/>
      <c r="AS47" s="527"/>
      <c r="AT47" s="527"/>
      <c r="CG47" s="527"/>
      <c r="CH47" s="527"/>
      <c r="CI47" s="527"/>
      <c r="CJ47" s="527"/>
      <c r="CK47" s="527"/>
      <c r="CL47" s="527"/>
      <c r="CM47" s="527"/>
      <c r="CN47" s="527"/>
      <c r="CO47" s="527"/>
      <c r="CP47" s="527"/>
      <c r="CQ47" s="527"/>
      <c r="CR47" s="527"/>
      <c r="CS47" s="527"/>
      <c r="CT47" s="527"/>
      <c r="CU47" s="527"/>
      <c r="CV47" s="527"/>
      <c r="CW47" s="527"/>
      <c r="CX47" s="527"/>
      <c r="CY47" s="527"/>
      <c r="CZ47" s="527"/>
      <c r="DA47" s="527"/>
      <c r="DB47" s="527"/>
      <c r="DC47" s="527"/>
      <c r="DD47" s="527"/>
    </row>
    <row r="48" spans="1:108" customFormat="1" x14ac:dyDescent="0.2">
      <c r="A48" s="527"/>
      <c r="B48" s="530"/>
      <c r="C48" s="334"/>
      <c r="D48" s="334"/>
      <c r="E48" s="334" t="s">
        <v>24</v>
      </c>
      <c r="F48" s="480">
        <f>Calc!B48</f>
        <v>3.7212524344569289</v>
      </c>
      <c r="G48" s="341" t="s">
        <v>19</v>
      </c>
      <c r="H48" s="334"/>
      <c r="I48" s="334"/>
      <c r="J48" s="334"/>
      <c r="K48" s="334"/>
      <c r="L48" s="334"/>
      <c r="M48" s="334"/>
      <c r="N48" s="334"/>
      <c r="O48" s="334"/>
      <c r="P48" s="327"/>
      <c r="Q48" s="527"/>
      <c r="R48" s="527"/>
      <c r="Z48" s="527"/>
      <c r="AA48" s="527"/>
      <c r="AB48" s="527"/>
      <c r="AC48" s="527"/>
      <c r="AD48" s="527"/>
      <c r="AE48" s="527"/>
      <c r="AF48" s="527"/>
      <c r="AG48" s="527"/>
      <c r="AH48" s="527"/>
      <c r="AI48" s="527"/>
      <c r="AJ48" s="527"/>
      <c r="AK48" s="527"/>
      <c r="AL48" s="527"/>
      <c r="AM48" s="527"/>
      <c r="AN48" s="527"/>
      <c r="AO48" s="527"/>
      <c r="AP48" s="527"/>
      <c r="AQ48" s="527"/>
      <c r="AR48" s="527"/>
      <c r="AS48" s="527"/>
      <c r="AT48" s="527"/>
      <c r="CG48" s="527"/>
      <c r="CH48" s="527"/>
      <c r="CI48" s="527"/>
      <c r="CJ48" s="527"/>
      <c r="CK48" s="527"/>
      <c r="CL48" s="527"/>
      <c r="CM48" s="527"/>
      <c r="CN48" s="527"/>
      <c r="CO48" s="527"/>
      <c r="CP48" s="527"/>
      <c r="CQ48" s="527"/>
      <c r="CR48" s="527"/>
      <c r="CS48" s="527"/>
      <c r="CT48" s="527"/>
      <c r="CU48" s="527"/>
      <c r="CV48" s="527"/>
      <c r="CW48" s="527"/>
      <c r="CX48" s="527"/>
      <c r="CY48" s="527"/>
      <c r="CZ48" s="527"/>
      <c r="DA48" s="527"/>
      <c r="DB48" s="527"/>
      <c r="DC48" s="527"/>
      <c r="DD48" s="527"/>
    </row>
    <row r="49" spans="1:108" customFormat="1" x14ac:dyDescent="0.2">
      <c r="A49" s="527"/>
      <c r="B49" s="530"/>
      <c r="C49" s="334"/>
      <c r="D49" s="334"/>
      <c r="E49" s="334"/>
      <c r="F49" s="334"/>
      <c r="G49" s="334"/>
      <c r="H49" s="334"/>
      <c r="I49" s="334"/>
      <c r="J49" s="334"/>
      <c r="K49" s="334"/>
      <c r="L49" s="334"/>
      <c r="M49" s="334"/>
      <c r="N49" s="334"/>
      <c r="O49" s="334"/>
      <c r="P49" s="327"/>
      <c r="Q49" s="527"/>
      <c r="R49" s="527"/>
      <c r="Z49" s="527"/>
      <c r="AA49" s="527"/>
      <c r="AB49" s="527"/>
      <c r="AC49" s="527"/>
      <c r="AD49" s="527"/>
      <c r="AE49" s="527"/>
      <c r="AF49" s="527"/>
      <c r="AG49" s="527"/>
      <c r="AH49" s="527"/>
      <c r="AI49" s="527"/>
      <c r="AJ49" s="527"/>
      <c r="AK49" s="527"/>
      <c r="AL49" s="527"/>
      <c r="AM49" s="527"/>
      <c r="AN49" s="527"/>
      <c r="AO49" s="527"/>
      <c r="AP49" s="527"/>
      <c r="AQ49" s="527"/>
      <c r="AR49" s="527"/>
      <c r="AS49" s="527"/>
      <c r="AT49" s="527"/>
      <c r="CG49" s="527"/>
      <c r="CH49" s="527"/>
      <c r="CI49" s="527"/>
      <c r="CJ49" s="527"/>
      <c r="CK49" s="527"/>
      <c r="CL49" s="527"/>
      <c r="CM49" s="527"/>
      <c r="CN49" s="527"/>
      <c r="CO49" s="527"/>
      <c r="CP49" s="527"/>
      <c r="CQ49" s="527"/>
      <c r="CR49" s="527"/>
      <c r="CS49" s="527"/>
      <c r="CT49" s="527"/>
      <c r="CU49" s="527"/>
      <c r="CV49" s="527"/>
      <c r="CW49" s="527"/>
      <c r="CX49" s="527"/>
      <c r="CY49" s="527"/>
      <c r="CZ49" s="527"/>
      <c r="DA49" s="527"/>
      <c r="DB49" s="527"/>
      <c r="DC49" s="527"/>
      <c r="DD49" s="527"/>
    </row>
    <row r="50" spans="1:108" customFormat="1" x14ac:dyDescent="0.2">
      <c r="A50" s="527"/>
      <c r="B50" s="530"/>
      <c r="C50" s="334"/>
      <c r="D50" s="334"/>
      <c r="E50" s="334" t="str">
        <f>"Standard Efficiency - "&amp;_xlfn.XLOOKUP(S44,Lists!I4:I6,Lists!J4:J6) &amp;" Dryer (7lb load)"</f>
        <v>Standard Efficiency - Electric Dryer (7lb load)</v>
      </c>
      <c r="F50" s="67">
        <f>IF(dtype=1,3.73,3.3)</f>
        <v>3.73</v>
      </c>
      <c r="G50" s="341" t="s">
        <v>25</v>
      </c>
      <c r="H50" s="337"/>
      <c r="I50" s="334"/>
      <c r="J50" s="334"/>
      <c r="K50" s="334"/>
      <c r="L50" s="334"/>
      <c r="M50" s="334"/>
      <c r="N50" s="334"/>
      <c r="O50" s="334"/>
      <c r="P50" s="327"/>
      <c r="Q50" s="527"/>
      <c r="R50" s="527"/>
      <c r="Z50" s="527"/>
      <c r="AA50" s="527"/>
      <c r="AB50" s="527"/>
      <c r="AC50" s="527"/>
      <c r="AD50" s="527"/>
      <c r="AE50" s="527"/>
      <c r="AF50" s="527"/>
      <c r="AG50" s="527"/>
      <c r="AH50" s="527"/>
      <c r="AI50" s="527"/>
      <c r="AJ50" s="527"/>
      <c r="AK50" s="527"/>
      <c r="AL50" s="527"/>
      <c r="AM50" s="527"/>
      <c r="AN50" s="527"/>
      <c r="AO50" s="527"/>
      <c r="AP50" s="527"/>
      <c r="AQ50" s="527"/>
      <c r="AR50" s="527"/>
      <c r="AS50" s="527"/>
      <c r="AT50" s="527"/>
      <c r="CG50" s="527"/>
      <c r="CH50" s="527"/>
      <c r="CI50" s="527"/>
      <c r="CJ50" s="527"/>
      <c r="CK50" s="527"/>
      <c r="CL50" s="527"/>
      <c r="CM50" s="527"/>
      <c r="CN50" s="527"/>
      <c r="CO50" s="527"/>
      <c r="CP50" s="527"/>
      <c r="CQ50" s="527"/>
      <c r="CR50" s="527"/>
      <c r="CS50" s="527"/>
      <c r="CT50" s="527"/>
      <c r="CU50" s="527"/>
      <c r="CV50" s="527"/>
      <c r="CW50" s="527"/>
      <c r="CX50" s="527"/>
      <c r="CY50" s="527"/>
      <c r="CZ50" s="527"/>
      <c r="DA50" s="527"/>
      <c r="DB50" s="527"/>
      <c r="DC50" s="527"/>
      <c r="DD50" s="527"/>
    </row>
    <row r="51" spans="1:108" customFormat="1" x14ac:dyDescent="0.2">
      <c r="A51" s="527"/>
      <c r="B51" s="530"/>
      <c r="C51" s="334"/>
      <c r="D51" s="334"/>
      <c r="E51" s="424"/>
      <c r="F51" s="334"/>
      <c r="G51" s="334"/>
      <c r="H51" s="334"/>
      <c r="I51" s="334"/>
      <c r="J51" s="334"/>
      <c r="K51" s="334"/>
      <c r="L51" s="334"/>
      <c r="M51" s="334"/>
      <c r="N51" s="334"/>
      <c r="O51" s="334"/>
      <c r="P51" s="327"/>
      <c r="Q51" s="527"/>
      <c r="R51" s="527"/>
      <c r="Z51" s="527"/>
      <c r="AA51" s="527"/>
      <c r="AB51" s="527"/>
      <c r="AC51" s="527"/>
      <c r="AD51" s="527"/>
      <c r="AE51" s="527"/>
      <c r="AF51" s="527"/>
      <c r="AG51" s="527"/>
      <c r="AH51" s="527"/>
      <c r="AI51" s="527"/>
      <c r="AJ51" s="527"/>
      <c r="AK51" s="527"/>
      <c r="AL51" s="527"/>
      <c r="AM51" s="527"/>
      <c r="AN51" s="527"/>
      <c r="AO51" s="527"/>
      <c r="AP51" s="527"/>
      <c r="AQ51" s="527"/>
      <c r="AR51" s="527"/>
      <c r="AS51" s="527"/>
      <c r="AT51" s="527"/>
      <c r="CG51" s="527"/>
      <c r="CH51" s="527"/>
      <c r="CI51" s="527"/>
      <c r="CJ51" s="527"/>
      <c r="CK51" s="527"/>
      <c r="CL51" s="527"/>
      <c r="CM51" s="527"/>
      <c r="CN51" s="527"/>
      <c r="CO51" s="527"/>
      <c r="CP51" s="527"/>
      <c r="CQ51" s="527"/>
      <c r="CR51" s="527"/>
      <c r="CS51" s="527"/>
      <c r="CT51" s="527"/>
      <c r="CU51" s="527"/>
      <c r="CV51" s="527"/>
      <c r="CW51" s="527"/>
      <c r="CX51" s="527"/>
      <c r="CY51" s="527"/>
      <c r="CZ51" s="527"/>
      <c r="DA51" s="527"/>
      <c r="DB51" s="527"/>
      <c r="DC51" s="527"/>
      <c r="DD51" s="527"/>
    </row>
    <row r="52" spans="1:108" customFormat="1" x14ac:dyDescent="0.2">
      <c r="A52" s="527"/>
      <c r="B52" s="530"/>
      <c r="C52" s="334"/>
      <c r="D52" s="334"/>
      <c r="E52" s="334"/>
      <c r="F52" s="334"/>
      <c r="G52" s="334"/>
      <c r="H52" s="334"/>
      <c r="I52" s="334"/>
      <c r="J52" s="334"/>
      <c r="K52" s="334"/>
      <c r="L52" s="334"/>
      <c r="M52" s="334"/>
      <c r="N52" s="334"/>
      <c r="O52" s="334"/>
      <c r="P52" s="327"/>
      <c r="Q52" s="527"/>
      <c r="R52" s="527"/>
      <c r="Z52" s="527"/>
      <c r="AA52" s="527"/>
      <c r="AB52" s="527"/>
      <c r="AC52" s="527"/>
      <c r="AD52" s="527"/>
      <c r="AE52" s="527"/>
      <c r="AF52" s="527"/>
      <c r="AG52" s="527"/>
      <c r="AH52" s="527"/>
      <c r="AI52" s="527"/>
      <c r="AJ52" s="527"/>
      <c r="AK52" s="527"/>
      <c r="AL52" s="527"/>
      <c r="AM52" s="527"/>
      <c r="AN52" s="527"/>
      <c r="AO52" s="527"/>
      <c r="AP52" s="527"/>
      <c r="AQ52" s="527"/>
      <c r="AR52" s="527"/>
      <c r="AS52" s="527"/>
      <c r="AT52" s="527"/>
      <c r="CG52" s="527"/>
      <c r="CH52" s="527"/>
      <c r="CI52" s="527"/>
      <c r="CJ52" s="527"/>
      <c r="CK52" s="527"/>
      <c r="CL52" s="527"/>
      <c r="CM52" s="527"/>
      <c r="CN52" s="527"/>
      <c r="CO52" s="527"/>
      <c r="CP52" s="527"/>
      <c r="CQ52" s="527"/>
      <c r="CR52" s="527"/>
      <c r="CS52" s="527"/>
      <c r="CT52" s="527"/>
      <c r="CU52" s="527"/>
      <c r="CV52" s="527"/>
      <c r="CW52" s="527"/>
      <c r="CX52" s="527"/>
      <c r="CY52" s="527"/>
      <c r="CZ52" s="527"/>
      <c r="DA52" s="527"/>
      <c r="DB52" s="527"/>
      <c r="DC52" s="527"/>
      <c r="DD52" s="527"/>
    </row>
    <row r="53" spans="1:108" customFormat="1" x14ac:dyDescent="0.2">
      <c r="A53" s="527"/>
      <c r="B53" s="530"/>
      <c r="C53" s="334"/>
      <c r="D53" s="340" t="s">
        <v>26</v>
      </c>
      <c r="E53" s="334"/>
      <c r="F53" s="334"/>
      <c r="G53" s="334"/>
      <c r="H53" s="334"/>
      <c r="I53" s="334"/>
      <c r="J53" s="334"/>
      <c r="K53" s="334"/>
      <c r="L53" s="334"/>
      <c r="M53" s="334"/>
      <c r="N53" s="334"/>
      <c r="O53" s="334"/>
      <c r="P53" s="327"/>
      <c r="Q53" s="527"/>
      <c r="R53" s="527"/>
      <c r="Z53" s="527"/>
      <c r="AA53" s="527"/>
      <c r="AB53" s="527"/>
      <c r="AC53" s="527"/>
      <c r="AD53" s="527"/>
      <c r="AE53" s="527"/>
      <c r="AF53" s="527"/>
      <c r="AG53" s="527"/>
      <c r="AH53" s="527"/>
      <c r="AI53" s="527"/>
      <c r="AJ53" s="527"/>
      <c r="AK53" s="527"/>
      <c r="AL53" s="527"/>
      <c r="AM53" s="527"/>
      <c r="AN53" s="527"/>
      <c r="AO53" s="527"/>
      <c r="AP53" s="527"/>
      <c r="AQ53" s="527"/>
      <c r="AR53" s="527"/>
      <c r="AS53" s="527"/>
      <c r="AT53" s="527"/>
      <c r="CG53" s="527"/>
      <c r="CH53" s="527"/>
      <c r="CI53" s="527"/>
      <c r="CJ53" s="527"/>
      <c r="CK53" s="527"/>
      <c r="CL53" s="527"/>
      <c r="CM53" s="527"/>
      <c r="CN53" s="527"/>
      <c r="CO53" s="527"/>
      <c r="CP53" s="527"/>
      <c r="CQ53" s="527"/>
      <c r="CR53" s="527"/>
      <c r="CS53" s="527"/>
      <c r="CT53" s="527"/>
      <c r="CU53" s="527"/>
      <c r="CV53" s="527"/>
      <c r="CW53" s="527"/>
      <c r="CX53" s="527"/>
      <c r="CY53" s="527"/>
      <c r="CZ53" s="527"/>
      <c r="DA53" s="527"/>
      <c r="DB53" s="527"/>
      <c r="DC53" s="527"/>
      <c r="DD53" s="527"/>
    </row>
    <row r="54" spans="1:108" customFormat="1" x14ac:dyDescent="0.2">
      <c r="A54" s="527"/>
      <c r="B54" s="530"/>
      <c r="C54" s="334"/>
      <c r="D54" s="334"/>
      <c r="E54" s="334"/>
      <c r="F54" s="334"/>
      <c r="G54" s="334"/>
      <c r="H54" s="334"/>
      <c r="I54" s="334"/>
      <c r="J54" s="334"/>
      <c r="K54" s="334"/>
      <c r="L54" s="334"/>
      <c r="M54" s="334"/>
      <c r="N54" s="334"/>
      <c r="O54" s="334"/>
      <c r="P54" s="327"/>
      <c r="Q54" s="527"/>
      <c r="R54" s="527"/>
      <c r="Z54" s="527"/>
      <c r="AA54" s="527"/>
      <c r="AB54" s="527"/>
      <c r="AC54" s="527"/>
      <c r="AD54" s="527"/>
      <c r="AE54" s="527"/>
      <c r="AF54" s="527"/>
      <c r="AG54" s="527"/>
      <c r="AH54" s="527"/>
      <c r="AI54" s="527"/>
      <c r="AJ54" s="527"/>
      <c r="AK54" s="527"/>
      <c r="AL54" s="527"/>
      <c r="AM54" s="527"/>
      <c r="AN54" s="527"/>
      <c r="AO54" s="527"/>
      <c r="AP54" s="527"/>
      <c r="AQ54" s="527"/>
      <c r="AR54" s="527"/>
      <c r="AS54" s="527"/>
      <c r="AT54" s="527"/>
      <c r="CG54" s="527"/>
      <c r="CH54" s="527"/>
      <c r="CI54" s="527"/>
      <c r="CJ54" s="527"/>
      <c r="CK54" s="527"/>
      <c r="CL54" s="527"/>
      <c r="CM54" s="527"/>
      <c r="CN54" s="527"/>
      <c r="CO54" s="527"/>
      <c r="CP54" s="527"/>
      <c r="CQ54" s="527"/>
      <c r="CR54" s="527"/>
      <c r="CS54" s="527"/>
      <c r="CT54" s="527"/>
      <c r="CU54" s="527"/>
      <c r="CV54" s="527"/>
      <c r="CW54" s="527"/>
      <c r="CX54" s="527"/>
      <c r="CY54" s="527"/>
      <c r="CZ54" s="527"/>
      <c r="DA54" s="527"/>
      <c r="DB54" s="527"/>
      <c r="DC54" s="527"/>
      <c r="DD54" s="527"/>
    </row>
    <row r="55" spans="1:108" customFormat="1" x14ac:dyDescent="0.2">
      <c r="A55" s="527"/>
      <c r="B55" s="530"/>
      <c r="C55" s="334"/>
      <c r="D55" s="334"/>
      <c r="E55" s="341" t="s">
        <v>27</v>
      </c>
      <c r="F55" s="332" t="s">
        <v>50</v>
      </c>
      <c r="G55" s="334"/>
      <c r="H55" s="334"/>
      <c r="I55" s="334"/>
      <c r="J55" s="334"/>
      <c r="K55" s="334"/>
      <c r="L55" s="334"/>
      <c r="M55" s="334"/>
      <c r="N55" s="334"/>
      <c r="O55" s="334"/>
      <c r="P55" s="327"/>
      <c r="Q55" s="527"/>
      <c r="R55" s="527"/>
      <c r="Z55" s="527"/>
      <c r="AA55" s="527"/>
      <c r="AB55" s="527"/>
      <c r="AC55" s="527"/>
      <c r="AD55" s="527"/>
      <c r="AE55" s="527"/>
      <c r="AF55" s="527"/>
      <c r="AG55" s="527"/>
      <c r="AH55" s="527"/>
      <c r="AI55" s="527"/>
      <c r="AJ55" s="527"/>
      <c r="AK55" s="527"/>
      <c r="AL55" s="527"/>
      <c r="AM55" s="527"/>
      <c r="AN55" s="527"/>
      <c r="AO55" s="527"/>
      <c r="AP55" s="527"/>
      <c r="AQ55" s="527"/>
      <c r="AR55" s="527"/>
      <c r="AS55" s="527"/>
      <c r="AT55" s="527"/>
      <c r="CG55" s="527"/>
      <c r="CH55" s="527"/>
      <c r="CI55" s="527"/>
      <c r="CJ55" s="527"/>
      <c r="CK55" s="527"/>
      <c r="CL55" s="527"/>
      <c r="CM55" s="527"/>
      <c r="CN55" s="527"/>
      <c r="CO55" s="527"/>
      <c r="CP55" s="527"/>
      <c r="CQ55" s="527"/>
      <c r="CR55" s="527"/>
      <c r="CS55" s="527"/>
      <c r="CT55" s="527"/>
      <c r="CU55" s="527"/>
      <c r="CV55" s="527"/>
      <c r="CW55" s="527"/>
      <c r="CX55" s="527"/>
      <c r="CY55" s="527"/>
      <c r="CZ55" s="527"/>
      <c r="DA55" s="527"/>
      <c r="DB55" s="527"/>
      <c r="DC55" s="527"/>
      <c r="DD55" s="527"/>
    </row>
    <row r="56" spans="1:108" customFormat="1" x14ac:dyDescent="0.2">
      <c r="A56" s="527"/>
      <c r="B56" s="530"/>
      <c r="C56" s="334"/>
      <c r="D56" s="334"/>
      <c r="E56" s="341"/>
      <c r="F56" s="493"/>
      <c r="G56" s="334"/>
      <c r="H56" s="334"/>
      <c r="I56" s="334"/>
      <c r="J56" s="334"/>
      <c r="K56" s="334"/>
      <c r="L56" s="334"/>
      <c r="M56" s="334"/>
      <c r="N56" s="334"/>
      <c r="O56" s="334"/>
      <c r="P56" s="327"/>
      <c r="Q56" s="527"/>
      <c r="R56" s="527"/>
      <c r="Z56" s="527"/>
      <c r="AA56" s="527"/>
      <c r="AB56" s="527"/>
      <c r="AC56" s="527"/>
      <c r="AD56" s="527"/>
      <c r="AE56" s="527"/>
      <c r="AF56" s="527"/>
      <c r="AG56" s="527"/>
      <c r="AH56" s="527"/>
      <c r="AI56" s="527"/>
      <c r="AJ56" s="527"/>
      <c r="AK56" s="527"/>
      <c r="AL56" s="527"/>
      <c r="AM56" s="527"/>
      <c r="AN56" s="527"/>
      <c r="AO56" s="527"/>
      <c r="AP56" s="527"/>
      <c r="AQ56" s="527"/>
      <c r="AR56" s="527"/>
      <c r="AS56" s="527"/>
      <c r="AT56" s="527"/>
      <c r="CG56" s="527"/>
      <c r="CH56" s="527"/>
      <c r="CI56" s="527"/>
      <c r="CJ56" s="527"/>
      <c r="CK56" s="527"/>
      <c r="CL56" s="527"/>
      <c r="CM56" s="527"/>
      <c r="CN56" s="527"/>
      <c r="CO56" s="527"/>
      <c r="CP56" s="527"/>
      <c r="CQ56" s="527"/>
      <c r="CR56" s="527"/>
      <c r="CS56" s="527"/>
      <c r="CT56" s="527"/>
      <c r="CU56" s="527"/>
      <c r="CV56" s="527"/>
      <c r="CW56" s="527"/>
      <c r="CX56" s="527"/>
      <c r="CY56" s="527"/>
      <c r="CZ56" s="527"/>
      <c r="DA56" s="527"/>
      <c r="DB56" s="527"/>
      <c r="DC56" s="527"/>
      <c r="DD56" s="527"/>
    </row>
    <row r="57" spans="1:108" customFormat="1" x14ac:dyDescent="0.2">
      <c r="A57" s="527"/>
      <c r="B57" s="530"/>
      <c r="C57" s="334"/>
      <c r="D57" s="334"/>
      <c r="E57" s="341" t="s">
        <v>29</v>
      </c>
      <c r="F57" s="1" t="s">
        <v>62</v>
      </c>
      <c r="G57" s="334"/>
      <c r="H57" s="334"/>
      <c r="I57" s="334"/>
      <c r="J57" s="334"/>
      <c r="K57" s="334"/>
      <c r="L57" s="334"/>
      <c r="M57" s="334"/>
      <c r="N57" s="334"/>
      <c r="O57" s="334"/>
      <c r="P57" s="327"/>
      <c r="Q57" s="527"/>
      <c r="R57" s="527"/>
      <c r="S57" s="493">
        <f>IFERROR(MATCH(F57,list_Dryer,0),1)</f>
        <v>1</v>
      </c>
      <c r="Z57" s="527"/>
      <c r="AA57" s="527"/>
      <c r="AB57" s="527"/>
      <c r="AC57" s="527"/>
      <c r="AD57" s="527"/>
      <c r="AE57" s="527"/>
      <c r="AF57" s="527"/>
      <c r="AG57" s="527"/>
      <c r="AH57" s="527"/>
      <c r="AI57" s="527"/>
      <c r="AJ57" s="527"/>
      <c r="AK57" s="527"/>
      <c r="AL57" s="527"/>
      <c r="AM57" s="527"/>
      <c r="AN57" s="527"/>
      <c r="AO57" s="527"/>
      <c r="AP57" s="527"/>
      <c r="AQ57" s="527"/>
      <c r="AR57" s="527"/>
      <c r="AS57" s="527"/>
      <c r="AT57" s="527"/>
      <c r="CG57" s="527"/>
      <c r="CH57" s="527"/>
      <c r="CI57" s="527"/>
      <c r="CJ57" s="527"/>
      <c r="CK57" s="527"/>
      <c r="CL57" s="527"/>
      <c r="CM57" s="527"/>
      <c r="CN57" s="527"/>
      <c r="CO57" s="527"/>
      <c r="CP57" s="527"/>
      <c r="CQ57" s="527"/>
      <c r="CR57" s="527"/>
      <c r="CS57" s="527"/>
      <c r="CT57" s="527"/>
      <c r="CU57" s="527"/>
      <c r="CV57" s="527"/>
      <c r="CW57" s="527"/>
      <c r="CX57" s="527"/>
      <c r="CY57" s="527"/>
      <c r="CZ57" s="527"/>
      <c r="DA57" s="527"/>
      <c r="DB57" s="527"/>
      <c r="DC57" s="527"/>
      <c r="DD57" s="527"/>
    </row>
    <row r="58" spans="1:108" customFormat="1" x14ac:dyDescent="0.2">
      <c r="A58" s="527"/>
      <c r="B58" s="530"/>
      <c r="C58" s="334"/>
      <c r="D58" s="334"/>
      <c r="E58" s="334"/>
      <c r="F58" s="334"/>
      <c r="G58" s="334"/>
      <c r="H58" s="334"/>
      <c r="I58" s="334"/>
      <c r="J58" s="334"/>
      <c r="K58" s="334"/>
      <c r="L58" s="334"/>
      <c r="M58" s="334"/>
      <c r="N58" s="334"/>
      <c r="O58" s="334"/>
      <c r="P58" s="327"/>
      <c r="Q58" s="527"/>
      <c r="R58" s="527"/>
      <c r="Z58" s="527"/>
      <c r="AA58" s="527"/>
      <c r="AB58" s="527"/>
      <c r="AC58" s="527"/>
      <c r="AD58" s="527"/>
      <c r="AE58" s="527"/>
      <c r="AF58" s="527"/>
      <c r="AG58" s="527"/>
      <c r="AH58" s="527"/>
      <c r="AI58" s="527"/>
      <c r="AJ58" s="527"/>
      <c r="AK58" s="527"/>
      <c r="AL58" s="527"/>
      <c r="AM58" s="527"/>
      <c r="AN58" s="527"/>
      <c r="AO58" s="527"/>
      <c r="AP58" s="527"/>
      <c r="AQ58" s="527"/>
      <c r="AR58" s="527"/>
      <c r="AS58" s="527"/>
      <c r="AT58" s="527"/>
      <c r="CG58" s="527"/>
      <c r="CH58" s="527"/>
      <c r="CI58" s="527"/>
      <c r="CJ58" s="527"/>
      <c r="CK58" s="527"/>
      <c r="CL58" s="527"/>
      <c r="CM58" s="527"/>
      <c r="CN58" s="527"/>
      <c r="CO58" s="527"/>
      <c r="CP58" s="527"/>
      <c r="CQ58" s="527"/>
      <c r="CR58" s="527"/>
      <c r="CS58" s="527"/>
      <c r="CT58" s="527"/>
      <c r="CU58" s="527"/>
      <c r="CV58" s="527"/>
      <c r="CW58" s="527"/>
      <c r="CX58" s="527"/>
      <c r="CY58" s="527"/>
      <c r="CZ58" s="527"/>
      <c r="DA58" s="527"/>
      <c r="DB58" s="527"/>
      <c r="DC58" s="527"/>
      <c r="DD58" s="527"/>
    </row>
    <row r="59" spans="1:108" customFormat="1" x14ac:dyDescent="0.2">
      <c r="A59" s="527"/>
      <c r="B59" s="530"/>
      <c r="C59" s="334"/>
      <c r="D59" s="334"/>
      <c r="E59" s="341" t="str">
        <f>IF(ctype=1,"Annual Cooking Electric Requirements","Annual Cooking Heating Requirements")</f>
        <v>Annual Cooking Electric Requirements</v>
      </c>
      <c r="F59" s="480">
        <f>IF(ctype=1,261,1.5)</f>
        <v>261</v>
      </c>
      <c r="G59" s="334" t="str">
        <f>IF(ctype=1,"kWh/yr","MMBtu/yr")</f>
        <v>kWh/yr</v>
      </c>
      <c r="H59" s="334"/>
      <c r="I59" s="334"/>
      <c r="J59" s="334"/>
      <c r="K59" s="334"/>
      <c r="L59" s="334"/>
      <c r="M59" s="334"/>
      <c r="N59" s="334"/>
      <c r="O59" s="334"/>
      <c r="P59" s="327"/>
      <c r="Q59" s="527"/>
      <c r="R59" s="527"/>
      <c r="Z59" s="527"/>
      <c r="AA59" s="527"/>
      <c r="AB59" s="527"/>
      <c r="AC59" s="527"/>
      <c r="AD59" s="527"/>
      <c r="AE59" s="527"/>
      <c r="AF59" s="527"/>
      <c r="AG59" s="527"/>
      <c r="AH59" s="527"/>
      <c r="AI59" s="527"/>
      <c r="AJ59" s="527"/>
      <c r="AK59" s="527"/>
      <c r="AL59" s="527"/>
      <c r="AM59" s="527"/>
      <c r="AN59" s="527"/>
      <c r="AO59" s="527"/>
      <c r="AP59" s="527"/>
      <c r="AQ59" s="527"/>
      <c r="AR59" s="527"/>
      <c r="AS59" s="527"/>
      <c r="AT59" s="527"/>
      <c r="CG59" s="527"/>
      <c r="CH59" s="527"/>
      <c r="CI59" s="527"/>
      <c r="CJ59" s="527"/>
      <c r="CK59" s="527"/>
      <c r="CL59" s="527"/>
      <c r="CM59" s="527"/>
      <c r="CN59" s="527"/>
      <c r="CO59" s="527"/>
      <c r="CP59" s="527"/>
      <c r="CQ59" s="527"/>
      <c r="CR59" s="527"/>
      <c r="CS59" s="527"/>
      <c r="CT59" s="527"/>
      <c r="CU59" s="527"/>
      <c r="CV59" s="527"/>
      <c r="CW59" s="527"/>
      <c r="CX59" s="527"/>
      <c r="CY59" s="527"/>
      <c r="CZ59" s="527"/>
      <c r="DA59" s="527"/>
      <c r="DB59" s="527"/>
      <c r="DC59" s="527"/>
      <c r="DD59" s="527"/>
    </row>
    <row r="60" spans="1:108" customFormat="1" x14ac:dyDescent="0.2">
      <c r="A60" s="527"/>
      <c r="B60" s="530"/>
      <c r="C60" s="334"/>
      <c r="D60" s="334"/>
      <c r="E60" s="334"/>
      <c r="F60" s="334"/>
      <c r="G60" s="334"/>
      <c r="H60" s="334"/>
      <c r="I60" s="334"/>
      <c r="J60" s="334"/>
      <c r="K60" s="334"/>
      <c r="L60" s="334"/>
      <c r="M60" s="334"/>
      <c r="N60" s="334"/>
      <c r="O60" s="334"/>
      <c r="P60" s="327"/>
      <c r="Q60" s="527"/>
      <c r="R60" s="527"/>
      <c r="Z60" s="527"/>
      <c r="AA60" s="527"/>
      <c r="AB60" s="527"/>
      <c r="AC60" s="527"/>
      <c r="AD60" s="527"/>
      <c r="AE60" s="527"/>
      <c r="AF60" s="527"/>
      <c r="AG60" s="527"/>
      <c r="AH60" s="527"/>
      <c r="AI60" s="527"/>
      <c r="AJ60" s="527"/>
      <c r="AK60" s="527"/>
      <c r="AL60" s="527"/>
      <c r="AM60" s="527"/>
      <c r="AN60" s="527"/>
      <c r="AO60" s="527"/>
      <c r="AP60" s="527"/>
      <c r="AQ60" s="527"/>
      <c r="AR60" s="527"/>
      <c r="AS60" s="527"/>
      <c r="AT60" s="527"/>
      <c r="CG60" s="527"/>
      <c r="CH60" s="527"/>
      <c r="CI60" s="527"/>
      <c r="CJ60" s="527"/>
      <c r="CK60" s="527"/>
      <c r="CL60" s="527"/>
      <c r="CM60" s="527"/>
      <c r="CN60" s="527"/>
      <c r="CO60" s="527"/>
      <c r="CP60" s="527"/>
      <c r="CQ60" s="527"/>
      <c r="CR60" s="527"/>
      <c r="CS60" s="527"/>
      <c r="CT60" s="527"/>
      <c r="CU60" s="527"/>
      <c r="CV60" s="527"/>
      <c r="CW60" s="527"/>
      <c r="CX60" s="527"/>
      <c r="CY60" s="527"/>
      <c r="CZ60" s="527"/>
      <c r="DA60" s="527"/>
      <c r="DB60" s="527"/>
      <c r="DC60" s="527"/>
      <c r="DD60" s="527"/>
    </row>
    <row r="61" spans="1:108" customFormat="1" x14ac:dyDescent="0.2">
      <c r="A61" s="527"/>
      <c r="B61" s="530"/>
      <c r="C61" s="334"/>
      <c r="D61" s="334"/>
      <c r="E61" s="334" t="str">
        <f>"Standard Efficiency "&amp;_xlfn.XLOOKUP(S57,Lists!I4:I6,Lists!J4:J6)&amp;" Range"</f>
        <v>Standard Efficiency Electric Range</v>
      </c>
      <c r="F61" s="481">
        <f>IF(ctype=1,0.74,0.4)</f>
        <v>0.74</v>
      </c>
      <c r="G61" s="334"/>
      <c r="H61" s="334"/>
      <c r="I61" s="334"/>
      <c r="J61" s="334"/>
      <c r="K61" s="334"/>
      <c r="L61" s="334"/>
      <c r="M61" s="334"/>
      <c r="N61" s="334"/>
      <c r="O61" s="334"/>
      <c r="P61" s="327"/>
      <c r="Q61" s="527"/>
      <c r="R61" s="527"/>
      <c r="Z61" s="527"/>
      <c r="AA61" s="527"/>
      <c r="AB61" s="527"/>
      <c r="AC61" s="527"/>
      <c r="AD61" s="527"/>
      <c r="AE61" s="527"/>
      <c r="AF61" s="527"/>
      <c r="AG61" s="527"/>
      <c r="AH61" s="527"/>
      <c r="AI61" s="527"/>
      <c r="AJ61" s="527"/>
      <c r="AK61" s="527"/>
      <c r="AL61" s="527"/>
      <c r="AM61" s="527"/>
      <c r="AN61" s="527"/>
      <c r="AO61" s="527"/>
      <c r="AP61" s="527"/>
      <c r="AQ61" s="527"/>
      <c r="AR61" s="527"/>
      <c r="AS61" s="527"/>
      <c r="AT61" s="527"/>
      <c r="CG61" s="527"/>
      <c r="CH61" s="527"/>
      <c r="CI61" s="527"/>
      <c r="CJ61" s="527"/>
      <c r="CK61" s="527"/>
      <c r="CL61" s="527"/>
      <c r="CM61" s="527"/>
      <c r="CN61" s="527"/>
      <c r="CO61" s="527"/>
      <c r="CP61" s="527"/>
      <c r="CQ61" s="527"/>
      <c r="CR61" s="527"/>
      <c r="CS61" s="527"/>
      <c r="CT61" s="527"/>
      <c r="CU61" s="527"/>
      <c r="CV61" s="527"/>
      <c r="CW61" s="527"/>
      <c r="CX61" s="527"/>
      <c r="CY61" s="527"/>
      <c r="CZ61" s="527"/>
      <c r="DA61" s="527"/>
      <c r="DB61" s="527"/>
      <c r="DC61" s="527"/>
      <c r="DD61" s="527"/>
    </row>
    <row r="62" spans="1:108" customFormat="1" x14ac:dyDescent="0.2">
      <c r="A62" s="527"/>
      <c r="B62" s="530"/>
      <c r="C62" s="334"/>
      <c r="D62" s="334"/>
      <c r="E62" s="424"/>
      <c r="F62" s="334"/>
      <c r="G62" s="334"/>
      <c r="H62" s="334"/>
      <c r="I62" s="334"/>
      <c r="J62" s="334"/>
      <c r="K62" s="334"/>
      <c r="L62" s="334"/>
      <c r="M62" s="334"/>
      <c r="N62" s="334"/>
      <c r="O62" s="334"/>
      <c r="P62" s="327"/>
      <c r="Q62" s="527"/>
      <c r="R62" s="527"/>
      <c r="Z62" s="527"/>
      <c r="AA62" s="527"/>
      <c r="AB62" s="527"/>
      <c r="AC62" s="527"/>
      <c r="AD62" s="527"/>
      <c r="AE62" s="527"/>
      <c r="AF62" s="527"/>
      <c r="AG62" s="527"/>
      <c r="AH62" s="527"/>
      <c r="AI62" s="527"/>
      <c r="AJ62" s="527"/>
      <c r="AK62" s="527"/>
      <c r="AL62" s="527"/>
      <c r="AM62" s="527"/>
      <c r="AN62" s="527"/>
      <c r="AO62" s="527"/>
      <c r="AP62" s="527"/>
      <c r="AQ62" s="527"/>
      <c r="AR62" s="527"/>
      <c r="AS62" s="527"/>
      <c r="AT62" s="527"/>
      <c r="CG62" s="527"/>
      <c r="CH62" s="527"/>
      <c r="CI62" s="527"/>
      <c r="CJ62" s="527"/>
      <c r="CK62" s="527"/>
      <c r="CL62" s="527"/>
      <c r="CM62" s="527"/>
      <c r="CN62" s="527"/>
      <c r="CO62" s="527"/>
      <c r="CP62" s="527"/>
      <c r="CQ62" s="527"/>
      <c r="CR62" s="527"/>
      <c r="CS62" s="527"/>
      <c r="CT62" s="527"/>
      <c r="CU62" s="527"/>
      <c r="CV62" s="527"/>
      <c r="CW62" s="527"/>
      <c r="CX62" s="527"/>
      <c r="CY62" s="527"/>
      <c r="CZ62" s="527"/>
      <c r="DA62" s="527"/>
      <c r="DB62" s="527"/>
      <c r="DC62" s="527"/>
      <c r="DD62" s="527"/>
    </row>
    <row r="63" spans="1:108" customFormat="1" x14ac:dyDescent="0.2">
      <c r="A63" s="527"/>
      <c r="B63" s="530"/>
      <c r="C63" s="334"/>
      <c r="D63" s="334"/>
      <c r="E63" s="334"/>
      <c r="F63" s="334"/>
      <c r="G63" s="334"/>
      <c r="H63" s="334"/>
      <c r="I63" s="334"/>
      <c r="J63" s="334"/>
      <c r="K63" s="334"/>
      <c r="L63" s="334"/>
      <c r="M63" s="334"/>
      <c r="N63" s="334"/>
      <c r="O63" s="334"/>
      <c r="P63" s="327"/>
      <c r="Q63" s="527"/>
      <c r="R63" s="527"/>
      <c r="Z63" s="527"/>
      <c r="AA63" s="527"/>
      <c r="AB63" s="527"/>
      <c r="AC63" s="527"/>
      <c r="AD63" s="527"/>
      <c r="AE63" s="527"/>
      <c r="AF63" s="527"/>
      <c r="AG63" s="527"/>
      <c r="AH63" s="527"/>
      <c r="AI63" s="527"/>
      <c r="AJ63" s="527"/>
      <c r="AK63" s="527"/>
      <c r="AL63" s="527"/>
      <c r="AM63" s="527"/>
      <c r="AN63" s="527"/>
      <c r="AO63" s="527"/>
      <c r="AP63" s="527"/>
      <c r="AQ63" s="527"/>
      <c r="AR63" s="527"/>
      <c r="AS63" s="527"/>
      <c r="AT63" s="527"/>
      <c r="CG63" s="527"/>
      <c r="CH63" s="527"/>
      <c r="CI63" s="527"/>
      <c r="CJ63" s="527"/>
      <c r="CK63" s="527"/>
      <c r="CL63" s="527"/>
      <c r="CM63" s="527"/>
      <c r="CN63" s="527"/>
      <c r="CO63" s="527"/>
      <c r="CP63" s="527"/>
      <c r="CQ63" s="527"/>
      <c r="CR63" s="527"/>
      <c r="CS63" s="527"/>
      <c r="CT63" s="527"/>
      <c r="CU63" s="527"/>
      <c r="CV63" s="527"/>
      <c r="CW63" s="527"/>
      <c r="CX63" s="527"/>
      <c r="CY63" s="527"/>
      <c r="CZ63" s="527"/>
      <c r="DA63" s="527"/>
      <c r="DB63" s="527"/>
      <c r="DC63" s="527"/>
      <c r="DD63" s="527"/>
    </row>
    <row r="64" spans="1:108" customFormat="1" x14ac:dyDescent="0.2">
      <c r="A64" s="527"/>
      <c r="B64" s="530"/>
      <c r="C64" s="334"/>
      <c r="D64" s="334"/>
      <c r="E64" s="334"/>
      <c r="F64" s="334"/>
      <c r="G64" s="334"/>
      <c r="H64" s="334"/>
      <c r="I64" s="334"/>
      <c r="J64" s="334"/>
      <c r="K64" s="334"/>
      <c r="L64" s="334"/>
      <c r="M64" s="334"/>
      <c r="N64" s="334"/>
      <c r="O64" s="334"/>
      <c r="P64" s="327"/>
      <c r="Q64" s="527"/>
      <c r="R64" s="527"/>
      <c r="Z64" s="527"/>
      <c r="AA64" s="527"/>
      <c r="AB64" s="527"/>
      <c r="AC64" s="527"/>
      <c r="AD64" s="527"/>
      <c r="AE64" s="527"/>
      <c r="AF64" s="527"/>
      <c r="AG64" s="527"/>
      <c r="AH64" s="527"/>
      <c r="AI64" s="527"/>
      <c r="AJ64" s="527"/>
      <c r="AK64" s="527"/>
      <c r="AL64" s="527"/>
      <c r="AM64" s="527"/>
      <c r="AN64" s="527"/>
      <c r="AO64" s="527"/>
      <c r="AP64" s="527"/>
      <c r="AQ64" s="527"/>
      <c r="AR64" s="527"/>
      <c r="AS64" s="527"/>
      <c r="AT64" s="527"/>
      <c r="CG64" s="527"/>
      <c r="CH64" s="527"/>
      <c r="CI64" s="527"/>
      <c r="CJ64" s="527"/>
      <c r="CK64" s="527"/>
      <c r="CL64" s="527"/>
      <c r="CM64" s="527"/>
      <c r="CN64" s="527"/>
      <c r="CO64" s="527"/>
      <c r="CP64" s="527"/>
      <c r="CQ64" s="527"/>
      <c r="CR64" s="527"/>
      <c r="CS64" s="527"/>
      <c r="CT64" s="527"/>
      <c r="CU64" s="527"/>
      <c r="CV64" s="527"/>
      <c r="CW64" s="527"/>
      <c r="CX64" s="527"/>
      <c r="CY64" s="527"/>
      <c r="CZ64" s="527"/>
      <c r="DA64" s="527"/>
      <c r="DB64" s="527"/>
      <c r="DC64" s="527"/>
      <c r="DD64" s="527"/>
    </row>
    <row r="65" spans="1:108" customFormat="1" x14ac:dyDescent="0.2">
      <c r="A65" s="527"/>
      <c r="B65" s="530"/>
      <c r="C65" s="334"/>
      <c r="D65" s="334"/>
      <c r="E65" s="334"/>
      <c r="F65" s="334"/>
      <c r="G65" s="334"/>
      <c r="H65" s="334"/>
      <c r="I65" s="334"/>
      <c r="J65" s="334"/>
      <c r="K65" s="334"/>
      <c r="L65" s="334"/>
      <c r="M65" s="334"/>
      <c r="N65" s="334"/>
      <c r="O65" s="334"/>
      <c r="P65" s="327"/>
      <c r="Q65" s="527"/>
      <c r="R65" s="527"/>
      <c r="Z65" s="527"/>
      <c r="AA65" s="527"/>
      <c r="AB65" s="527"/>
      <c r="AC65" s="527"/>
      <c r="AD65" s="527"/>
      <c r="AE65" s="527"/>
      <c r="AF65" s="527"/>
      <c r="AG65" s="527"/>
      <c r="AH65" s="527"/>
      <c r="AI65" s="527"/>
      <c r="AJ65" s="527"/>
      <c r="AK65" s="527"/>
      <c r="AL65" s="527"/>
      <c r="AM65" s="527"/>
      <c r="AN65" s="527"/>
      <c r="AO65" s="527"/>
      <c r="AP65" s="527"/>
      <c r="AQ65" s="527"/>
      <c r="AR65" s="527"/>
      <c r="AS65" s="527"/>
      <c r="AT65" s="527"/>
      <c r="CG65" s="527"/>
      <c r="CH65" s="527"/>
      <c r="CI65" s="527"/>
      <c r="CJ65" s="527"/>
      <c r="CK65" s="527"/>
      <c r="CL65" s="527"/>
      <c r="CM65" s="527"/>
      <c r="CN65" s="527"/>
      <c r="CO65" s="527"/>
      <c r="CP65" s="527"/>
      <c r="CQ65" s="527"/>
      <c r="CR65" s="527"/>
      <c r="CS65" s="527"/>
      <c r="CT65" s="527"/>
      <c r="CU65" s="527"/>
      <c r="CV65" s="527"/>
      <c r="CW65" s="527"/>
      <c r="CX65" s="527"/>
      <c r="CY65" s="527"/>
      <c r="CZ65" s="527"/>
      <c r="DA65" s="527"/>
      <c r="DB65" s="527"/>
      <c r="DC65" s="527"/>
      <c r="DD65" s="527"/>
    </row>
    <row r="66" spans="1:108" customFormat="1" ht="18.75" x14ac:dyDescent="0.2">
      <c r="A66" s="527"/>
      <c r="B66" s="530"/>
      <c r="C66" s="334"/>
      <c r="D66" s="482" t="s">
        <v>30</v>
      </c>
      <c r="E66" s="334"/>
      <c r="F66" s="483" t="s">
        <v>31</v>
      </c>
      <c r="G66" s="484"/>
      <c r="H66" s="334"/>
      <c r="I66" s="483" t="s">
        <v>32</v>
      </c>
      <c r="J66" s="485"/>
      <c r="K66" s="485"/>
      <c r="L66" s="559" t="s">
        <v>33</v>
      </c>
      <c r="M66" s="559"/>
      <c r="N66" s="559"/>
      <c r="O66" s="559"/>
      <c r="P66" s="327"/>
      <c r="Q66" s="527"/>
      <c r="R66" s="527"/>
      <c r="Z66" s="527"/>
      <c r="AA66" s="527"/>
      <c r="AB66" s="527"/>
      <c r="AC66" s="527"/>
      <c r="AD66" s="527"/>
      <c r="AE66" s="527"/>
      <c r="AF66" s="527"/>
      <c r="AG66" s="527"/>
      <c r="AH66" s="527"/>
      <c r="AI66" s="527"/>
      <c r="AJ66" s="527"/>
      <c r="AK66" s="527"/>
      <c r="AL66" s="527"/>
      <c r="AM66" s="527"/>
      <c r="AN66" s="527"/>
      <c r="AO66" s="527"/>
      <c r="AP66" s="527"/>
      <c r="AQ66" s="527"/>
      <c r="AR66" s="527"/>
      <c r="AS66" s="527"/>
      <c r="AT66" s="527"/>
      <c r="CG66" s="527"/>
      <c r="CH66" s="527"/>
      <c r="CI66" s="527"/>
      <c r="CJ66" s="527"/>
      <c r="CK66" s="527"/>
      <c r="CL66" s="527"/>
      <c r="CM66" s="527"/>
      <c r="CN66" s="527"/>
      <c r="CO66" s="527"/>
      <c r="CP66" s="527"/>
      <c r="CQ66" s="527"/>
      <c r="CR66" s="527"/>
      <c r="CS66" s="527"/>
      <c r="CT66" s="527"/>
      <c r="CU66" s="527"/>
      <c r="CV66" s="527"/>
      <c r="CW66" s="527"/>
      <c r="CX66" s="527"/>
      <c r="CY66" s="527"/>
      <c r="CZ66" s="527"/>
      <c r="DA66" s="527"/>
      <c r="DB66" s="527"/>
      <c r="DC66" s="527"/>
      <c r="DD66" s="527"/>
    </row>
    <row r="67" spans="1:108" customFormat="1" x14ac:dyDescent="0.2">
      <c r="A67" s="527"/>
      <c r="B67" s="530"/>
      <c r="C67" s="334"/>
      <c r="D67" s="334"/>
      <c r="E67" s="334"/>
      <c r="F67" s="486" t="s">
        <v>34</v>
      </c>
      <c r="G67" s="487"/>
      <c r="H67" s="486"/>
      <c r="I67" s="486" t="s">
        <v>34</v>
      </c>
      <c r="J67" s="486"/>
      <c r="K67" s="486"/>
      <c r="L67" s="486" t="s">
        <v>34</v>
      </c>
      <c r="M67" s="486"/>
      <c r="N67" s="486"/>
      <c r="O67" s="486" t="s">
        <v>35</v>
      </c>
      <c r="P67" s="327"/>
      <c r="Q67" s="527"/>
      <c r="R67" s="527"/>
      <c r="Z67" s="527"/>
      <c r="AA67" s="527"/>
      <c r="AB67" s="527"/>
      <c r="AC67" s="527"/>
      <c r="AD67" s="527"/>
      <c r="AE67" s="527"/>
      <c r="AF67" s="527"/>
      <c r="AG67" s="527"/>
      <c r="AH67" s="527"/>
      <c r="AI67" s="527"/>
      <c r="AJ67" s="527"/>
      <c r="AK67" s="527"/>
      <c r="AL67" s="527"/>
      <c r="AM67" s="527"/>
      <c r="AN67" s="527"/>
      <c r="AO67" s="527"/>
      <c r="AP67" s="527"/>
      <c r="AQ67" s="527"/>
      <c r="AR67" s="527"/>
      <c r="AS67" s="527"/>
      <c r="AT67" s="527"/>
      <c r="CG67" s="527"/>
      <c r="CH67" s="527"/>
      <c r="CI67" s="527"/>
      <c r="CJ67" s="527"/>
      <c r="CK67" s="527"/>
      <c r="CL67" s="527"/>
      <c r="CM67" s="527"/>
      <c r="CN67" s="527"/>
      <c r="CO67" s="527"/>
      <c r="CP67" s="527"/>
      <c r="CQ67" s="527"/>
      <c r="CR67" s="527"/>
      <c r="CS67" s="527"/>
      <c r="CT67" s="527"/>
      <c r="CU67" s="527"/>
      <c r="CV67" s="527"/>
      <c r="CW67" s="527"/>
      <c r="CX67" s="527"/>
      <c r="CY67" s="527"/>
      <c r="CZ67" s="527"/>
      <c r="DA67" s="527"/>
      <c r="DB67" s="527"/>
      <c r="DC67" s="527"/>
      <c r="DD67" s="527"/>
    </row>
    <row r="68" spans="1:108" customFormat="1" ht="16.5" thickBot="1" x14ac:dyDescent="0.25">
      <c r="A68" s="527"/>
      <c r="B68" s="532"/>
      <c r="C68" s="488"/>
      <c r="D68" s="489" t="s">
        <v>36</v>
      </c>
      <c r="E68" s="489"/>
      <c r="F68" s="490" t="s">
        <v>37</v>
      </c>
      <c r="G68" s="488"/>
      <c r="H68" s="490"/>
      <c r="I68" s="491" t="s">
        <v>37</v>
      </c>
      <c r="J68" s="490"/>
      <c r="K68" s="490"/>
      <c r="L68" s="490" t="s">
        <v>38</v>
      </c>
      <c r="M68" s="488"/>
      <c r="N68" s="488"/>
      <c r="O68" s="490" t="s">
        <v>39</v>
      </c>
      <c r="P68" s="492"/>
      <c r="Q68" s="527"/>
      <c r="R68" s="527"/>
      <c r="Z68" s="527"/>
      <c r="AA68" s="527"/>
      <c r="AB68" s="527"/>
      <c r="AC68" s="527"/>
      <c r="AD68" s="527"/>
      <c r="AE68" s="527"/>
      <c r="AF68" s="527"/>
      <c r="AG68" s="527"/>
      <c r="AH68" s="527"/>
      <c r="AI68" s="527"/>
      <c r="AJ68" s="527"/>
      <c r="AK68" s="527"/>
      <c r="AL68" s="527"/>
      <c r="AM68" s="527"/>
      <c r="AN68" s="527"/>
      <c r="AO68" s="527"/>
      <c r="AP68" s="527"/>
      <c r="AQ68" s="527"/>
      <c r="AR68" s="527"/>
      <c r="AS68" s="527"/>
      <c r="AT68" s="527"/>
      <c r="CG68" s="527"/>
      <c r="CH68" s="527"/>
      <c r="CI68" s="527"/>
      <c r="CJ68" s="527"/>
      <c r="CK68" s="527"/>
      <c r="CL68" s="527"/>
      <c r="CM68" s="527"/>
      <c r="CN68" s="527"/>
      <c r="CO68" s="527"/>
      <c r="CP68" s="527"/>
      <c r="CQ68" s="527"/>
      <c r="CR68" s="527"/>
      <c r="CS68" s="527"/>
      <c r="CT68" s="527"/>
      <c r="CU68" s="527"/>
      <c r="CV68" s="527"/>
      <c r="CW68" s="527"/>
      <c r="CX68" s="527"/>
      <c r="CY68" s="527"/>
      <c r="CZ68" s="527"/>
      <c r="DA68" s="527"/>
      <c r="DB68" s="527"/>
      <c r="DC68" s="527"/>
      <c r="DD68" s="527"/>
    </row>
    <row r="69" spans="1:108" customFormat="1" ht="15.95" customHeight="1" thickBot="1" x14ac:dyDescent="0.25">
      <c r="A69" s="527"/>
      <c r="B69" s="530"/>
      <c r="C69" s="334"/>
      <c r="D69" s="334"/>
      <c r="E69" s="493" t="s">
        <v>40</v>
      </c>
      <c r="F69" s="494">
        <f>Calc!G133</f>
        <v>1180.4986249360509</v>
      </c>
      <c r="G69" s="493"/>
      <c r="H69" s="495"/>
      <c r="I69" s="494">
        <f>Calc!H133</f>
        <v>920.1760681760959</v>
      </c>
      <c r="J69" s="496"/>
      <c r="K69" s="496"/>
      <c r="L69" s="494">
        <f>F69-I69</f>
        <v>260.32255675995498</v>
      </c>
      <c r="M69" s="488"/>
      <c r="N69" s="488"/>
      <c r="O69" s="497">
        <f>IF(L69=0,0,L69/F69)</f>
        <v>0.2205191528910565</v>
      </c>
      <c r="P69" s="327"/>
      <c r="Q69" s="527"/>
      <c r="R69" s="527"/>
      <c r="Z69" s="527"/>
      <c r="AA69" s="527"/>
      <c r="AB69" s="527"/>
      <c r="AC69" s="527"/>
      <c r="AD69" s="527"/>
      <c r="AE69" s="527"/>
      <c r="AF69" s="527"/>
      <c r="AG69" s="527"/>
      <c r="AH69" s="527"/>
      <c r="AI69" s="527"/>
      <c r="AJ69" s="527"/>
      <c r="AK69" s="527"/>
      <c r="AL69" s="527"/>
      <c r="AM69" s="527"/>
      <c r="AN69" s="527"/>
      <c r="AO69" s="527"/>
      <c r="AP69" s="527"/>
      <c r="AQ69" s="527"/>
      <c r="AR69" s="527"/>
      <c r="AS69" s="527"/>
      <c r="AT69" s="527"/>
      <c r="CG69" s="527"/>
      <c r="CH69" s="527"/>
      <c r="CI69" s="527"/>
      <c r="CJ69" s="527"/>
      <c r="CK69" s="527"/>
      <c r="CL69" s="527"/>
      <c r="CM69" s="527"/>
      <c r="CN69" s="527"/>
      <c r="CO69" s="527"/>
      <c r="CP69" s="527"/>
      <c r="CQ69" s="527"/>
      <c r="CR69" s="527"/>
      <c r="CS69" s="527"/>
      <c r="CT69" s="527"/>
      <c r="CU69" s="527"/>
      <c r="CV69" s="527"/>
      <c r="CW69" s="527"/>
      <c r="CX69" s="527"/>
      <c r="CY69" s="527"/>
      <c r="CZ69" s="527"/>
      <c r="DA69" s="527"/>
      <c r="DB69" s="527"/>
      <c r="DC69" s="527"/>
      <c r="DD69" s="527"/>
    </row>
    <row r="70" spans="1:108" customFormat="1" ht="15.95" customHeight="1" thickBot="1" x14ac:dyDescent="0.25">
      <c r="A70" s="527"/>
      <c r="B70" s="530"/>
      <c r="C70" s="334"/>
      <c r="D70" s="334"/>
      <c r="E70" s="493" t="s">
        <v>15</v>
      </c>
      <c r="F70" s="494">
        <f>Calc!G134</f>
        <v>832.30567307202205</v>
      </c>
      <c r="G70" s="493"/>
      <c r="H70" s="495"/>
      <c r="I70" s="494">
        <f>Calc!H134</f>
        <v>417.51576577586218</v>
      </c>
      <c r="J70" s="498"/>
      <c r="K70" s="498"/>
      <c r="L70" s="494">
        <f>F70-I70</f>
        <v>414.78990729615987</v>
      </c>
      <c r="M70" s="488"/>
      <c r="N70" s="488"/>
      <c r="O70" s="497">
        <f>IF(L70=0,0,L70/F70)</f>
        <v>0.49836246551724128</v>
      </c>
      <c r="P70" s="327"/>
      <c r="Q70" s="527"/>
      <c r="R70" s="527"/>
      <c r="Z70" s="527"/>
      <c r="AA70" s="527"/>
      <c r="AB70" s="527"/>
      <c r="AC70" s="527"/>
      <c r="AD70" s="527"/>
      <c r="AE70" s="527"/>
      <c r="AF70" s="527"/>
      <c r="AG70" s="527"/>
      <c r="AH70" s="527"/>
      <c r="AI70" s="527"/>
      <c r="AJ70" s="527"/>
      <c r="AK70" s="527"/>
      <c r="AL70" s="527"/>
      <c r="AM70" s="527"/>
      <c r="AN70" s="527"/>
      <c r="AO70" s="527"/>
      <c r="AP70" s="527"/>
      <c r="AQ70" s="527"/>
      <c r="AR70" s="527"/>
      <c r="AS70" s="527"/>
      <c r="AT70" s="527"/>
      <c r="CG70" s="527"/>
      <c r="CH70" s="527"/>
      <c r="CI70" s="527"/>
      <c r="CJ70" s="527"/>
      <c r="CK70" s="527"/>
      <c r="CL70" s="527"/>
      <c r="CM70" s="527"/>
      <c r="CN70" s="527"/>
      <c r="CO70" s="527"/>
      <c r="CP70" s="527"/>
      <c r="CQ70" s="527"/>
      <c r="CR70" s="527"/>
      <c r="CS70" s="527"/>
      <c r="CT70" s="527"/>
      <c r="CU70" s="527"/>
      <c r="CV70" s="527"/>
      <c r="CW70" s="527"/>
      <c r="CX70" s="527"/>
      <c r="CY70" s="527"/>
      <c r="CZ70" s="527"/>
      <c r="DA70" s="527"/>
      <c r="DB70" s="527"/>
      <c r="DC70" s="527"/>
      <c r="DD70" s="527"/>
    </row>
    <row r="71" spans="1:108" customFormat="1" ht="15.95" customHeight="1" thickBot="1" x14ac:dyDescent="0.25">
      <c r="A71" s="527"/>
      <c r="B71" s="530"/>
      <c r="C71" s="334"/>
      <c r="D71" s="334"/>
      <c r="E71" s="493" t="s">
        <v>21</v>
      </c>
      <c r="F71" s="494">
        <f>Calc!G135</f>
        <v>124.91152815013403</v>
      </c>
      <c r="G71" s="493"/>
      <c r="H71" s="495"/>
      <c r="I71" s="494">
        <f>Calc!H135</f>
        <v>55.186173602996256</v>
      </c>
      <c r="J71" s="498"/>
      <c r="K71" s="498"/>
      <c r="L71" s="494">
        <f>F71-I71</f>
        <v>69.725354547137783</v>
      </c>
      <c r="M71" s="488"/>
      <c r="N71" s="488"/>
      <c r="O71" s="497">
        <f>IF(L71=0,0,L71/F71)</f>
        <v>0.55819791479400749</v>
      </c>
      <c r="P71" s="327"/>
      <c r="Q71" s="527"/>
      <c r="R71" s="527"/>
      <c r="Z71" s="527"/>
      <c r="AA71" s="527"/>
      <c r="AB71" s="527"/>
      <c r="AC71" s="527"/>
      <c r="AD71" s="527"/>
      <c r="AE71" s="527"/>
      <c r="AF71" s="527"/>
      <c r="AG71" s="527"/>
      <c r="AH71" s="527"/>
      <c r="AI71" s="527"/>
      <c r="AJ71" s="527"/>
      <c r="AK71" s="527"/>
      <c r="AL71" s="527"/>
      <c r="AM71" s="527"/>
      <c r="AN71" s="527"/>
      <c r="AO71" s="527"/>
      <c r="AP71" s="527"/>
      <c r="AQ71" s="527"/>
      <c r="AR71" s="527"/>
      <c r="AS71" s="527"/>
      <c r="AT71" s="527"/>
      <c r="CG71" s="527"/>
      <c r="CH71" s="527"/>
      <c r="CI71" s="527"/>
      <c r="CJ71" s="527"/>
      <c r="CK71" s="527"/>
      <c r="CL71" s="527"/>
      <c r="CM71" s="527"/>
      <c r="CN71" s="527"/>
      <c r="CO71" s="527"/>
      <c r="CP71" s="527"/>
      <c r="CQ71" s="527"/>
      <c r="CR71" s="527"/>
      <c r="CS71" s="527"/>
      <c r="CT71" s="527"/>
      <c r="CU71" s="527"/>
      <c r="CV71" s="527"/>
      <c r="CW71" s="527"/>
      <c r="CX71" s="527"/>
      <c r="CY71" s="527"/>
      <c r="CZ71" s="527"/>
      <c r="DA71" s="527"/>
      <c r="DB71" s="527"/>
      <c r="DC71" s="527"/>
      <c r="DD71" s="527"/>
    </row>
    <row r="72" spans="1:108" customFormat="1" ht="15.95" customHeight="1" thickBot="1" x14ac:dyDescent="0.25">
      <c r="A72" s="527"/>
      <c r="B72" s="530"/>
      <c r="C72" s="334"/>
      <c r="D72" s="334"/>
      <c r="E72" s="499" t="s">
        <v>26</v>
      </c>
      <c r="F72" s="494">
        <f>Calc!G136</f>
        <v>56.432432432432435</v>
      </c>
      <c r="G72" s="493"/>
      <c r="H72" s="495"/>
      <c r="I72" s="494">
        <f>Calc!H136</f>
        <v>22.245000000000001</v>
      </c>
      <c r="J72" s="498"/>
      <c r="K72" s="498"/>
      <c r="L72" s="494">
        <f>F72-I72</f>
        <v>34.187432432432431</v>
      </c>
      <c r="M72" s="488"/>
      <c r="N72" s="488"/>
      <c r="O72" s="497">
        <f>IF(L72=0,0,L72/F72)</f>
        <v>0.60581178160919535</v>
      </c>
      <c r="P72" s="327"/>
      <c r="Q72" s="527"/>
      <c r="R72" s="527"/>
      <c r="Z72" s="527"/>
      <c r="AA72" s="527"/>
      <c r="AB72" s="527"/>
      <c r="AC72" s="527"/>
      <c r="AD72" s="527"/>
      <c r="AE72" s="527"/>
      <c r="AF72" s="527"/>
      <c r="AG72" s="527"/>
      <c r="AH72" s="527"/>
      <c r="AI72" s="527"/>
      <c r="AJ72" s="527"/>
      <c r="AK72" s="527"/>
      <c r="AL72" s="527"/>
      <c r="AM72" s="527"/>
      <c r="AN72" s="527"/>
      <c r="AO72" s="527"/>
      <c r="AP72" s="527"/>
      <c r="AQ72" s="527"/>
      <c r="AR72" s="527"/>
      <c r="AS72" s="527"/>
      <c r="AT72" s="527"/>
      <c r="CG72" s="527"/>
      <c r="CH72" s="527"/>
      <c r="CI72" s="527"/>
      <c r="CJ72" s="527"/>
      <c r="CK72" s="527"/>
      <c r="CL72" s="527"/>
      <c r="CM72" s="527"/>
      <c r="CN72" s="527"/>
      <c r="CO72" s="527"/>
      <c r="CP72" s="527"/>
      <c r="CQ72" s="527"/>
      <c r="CR72" s="527"/>
      <c r="CS72" s="527"/>
      <c r="CT72" s="527"/>
      <c r="CU72" s="527"/>
      <c r="CV72" s="527"/>
      <c r="CW72" s="527"/>
      <c r="CX72" s="527"/>
      <c r="CY72" s="527"/>
      <c r="CZ72" s="527"/>
      <c r="DA72" s="527"/>
      <c r="DB72" s="527"/>
      <c r="DC72" s="527"/>
      <c r="DD72" s="527"/>
    </row>
    <row r="73" spans="1:108" customFormat="1" ht="15.95" customHeight="1" thickBot="1" x14ac:dyDescent="0.25">
      <c r="A73" s="527"/>
      <c r="B73" s="530"/>
      <c r="C73" s="334"/>
      <c r="D73" s="334"/>
      <c r="E73" s="500" t="s">
        <v>41</v>
      </c>
      <c r="F73" s="494">
        <f>Calc!G137</f>
        <v>2194.1482585906397</v>
      </c>
      <c r="G73" s="493"/>
      <c r="H73" s="495"/>
      <c r="I73" s="494">
        <f>Calc!H137</f>
        <v>1415.123007554954</v>
      </c>
      <c r="J73" s="498"/>
      <c r="K73" s="498"/>
      <c r="L73" s="494">
        <f>F73-I73</f>
        <v>779.02525103568564</v>
      </c>
      <c r="M73" s="488"/>
      <c r="N73" s="488"/>
      <c r="O73" s="497">
        <f>IF(L73=0,0,L73/F73)</f>
        <v>0.35504676950867237</v>
      </c>
      <c r="P73" s="327"/>
      <c r="Q73" s="527"/>
      <c r="R73" s="527"/>
      <c r="Z73" s="527"/>
      <c r="AA73" s="527"/>
      <c r="AB73" s="527"/>
      <c r="AC73" s="527"/>
      <c r="AD73" s="527"/>
      <c r="AE73" s="527"/>
      <c r="AF73" s="527"/>
      <c r="AG73" s="527"/>
      <c r="AH73" s="527"/>
      <c r="AI73" s="527"/>
      <c r="AJ73" s="527"/>
      <c r="AK73" s="527"/>
      <c r="AL73" s="527"/>
      <c r="AM73" s="527"/>
      <c r="AN73" s="527"/>
      <c r="AO73" s="527"/>
      <c r="AP73" s="527"/>
      <c r="AQ73" s="527"/>
      <c r="AR73" s="527"/>
      <c r="AS73" s="527"/>
      <c r="AT73" s="527"/>
      <c r="CG73" s="527"/>
      <c r="CH73" s="527"/>
      <c r="CI73" s="527"/>
      <c r="CJ73" s="527"/>
      <c r="CK73" s="527"/>
      <c r="CL73" s="527"/>
      <c r="CM73" s="527"/>
      <c r="CN73" s="527"/>
      <c r="CO73" s="527"/>
      <c r="CP73" s="527"/>
      <c r="CQ73" s="527"/>
      <c r="CR73" s="527"/>
      <c r="CS73" s="527"/>
      <c r="CT73" s="527"/>
      <c r="CU73" s="527"/>
      <c r="CV73" s="527"/>
      <c r="CW73" s="527"/>
      <c r="CX73" s="527"/>
      <c r="CY73" s="527"/>
      <c r="CZ73" s="527"/>
      <c r="DA73" s="527"/>
      <c r="DB73" s="527"/>
      <c r="DC73" s="527"/>
      <c r="DD73" s="527"/>
    </row>
    <row r="74" spans="1:108" customFormat="1" x14ac:dyDescent="0.2">
      <c r="A74" s="527"/>
      <c r="B74" s="530"/>
      <c r="C74" s="334"/>
      <c r="D74" s="334"/>
      <c r="E74" s="334"/>
      <c r="F74" s="493"/>
      <c r="G74" s="493"/>
      <c r="H74" s="493"/>
      <c r="I74" s="493"/>
      <c r="J74" s="493"/>
      <c r="K74" s="493"/>
      <c r="L74" s="493"/>
      <c r="M74" s="493"/>
      <c r="N74" s="493"/>
      <c r="O74" s="493"/>
      <c r="P74" s="327"/>
      <c r="Q74" s="527"/>
      <c r="R74" s="527"/>
      <c r="Z74" s="527"/>
      <c r="AA74" s="527"/>
      <c r="AB74" s="527"/>
      <c r="AC74" s="527"/>
      <c r="AD74" s="527"/>
      <c r="AE74" s="527"/>
      <c r="AF74" s="527"/>
      <c r="AG74" s="527"/>
      <c r="AH74" s="527"/>
      <c r="AI74" s="527"/>
      <c r="AJ74" s="527"/>
      <c r="AK74" s="527"/>
      <c r="AL74" s="527"/>
      <c r="AM74" s="527"/>
      <c r="AN74" s="527"/>
      <c r="AO74" s="527"/>
      <c r="AP74" s="527"/>
      <c r="AQ74" s="527"/>
      <c r="AR74" s="527"/>
      <c r="AS74" s="527"/>
      <c r="AT74" s="527"/>
      <c r="CG74" s="527"/>
      <c r="CH74" s="527"/>
      <c r="CI74" s="527"/>
      <c r="CJ74" s="527"/>
      <c r="CK74" s="527"/>
      <c r="CL74" s="527"/>
      <c r="CM74" s="527"/>
      <c r="CN74" s="527"/>
      <c r="CO74" s="527"/>
      <c r="CP74" s="527"/>
      <c r="CQ74" s="527"/>
      <c r="CR74" s="527"/>
      <c r="CS74" s="527"/>
      <c r="CT74" s="527"/>
      <c r="CU74" s="527"/>
      <c r="CV74" s="527"/>
      <c r="CW74" s="527"/>
      <c r="CX74" s="527"/>
      <c r="CY74" s="527"/>
      <c r="CZ74" s="527"/>
      <c r="DA74" s="527"/>
      <c r="DB74" s="527"/>
      <c r="DC74" s="527"/>
      <c r="DD74" s="527"/>
    </row>
    <row r="75" spans="1:108" customFormat="1" x14ac:dyDescent="0.2">
      <c r="A75" s="527"/>
      <c r="B75" s="530"/>
      <c r="C75" s="334"/>
      <c r="D75" s="334"/>
      <c r="E75" s="501"/>
      <c r="F75" s="334"/>
      <c r="G75" s="334"/>
      <c r="H75" s="334"/>
      <c r="I75" s="334"/>
      <c r="J75" s="334"/>
      <c r="K75" s="334"/>
      <c r="L75" s="334"/>
      <c r="M75" s="334"/>
      <c r="N75" s="334"/>
      <c r="O75" s="334"/>
      <c r="P75" s="327"/>
      <c r="Q75" s="527"/>
      <c r="R75" s="527"/>
      <c r="Z75" s="527"/>
      <c r="AA75" s="527"/>
      <c r="AB75" s="527"/>
      <c r="AC75" s="527"/>
      <c r="AD75" s="527"/>
      <c r="AE75" s="527"/>
      <c r="AF75" s="527"/>
      <c r="AG75" s="527"/>
      <c r="AH75" s="527"/>
      <c r="AI75" s="527"/>
      <c r="AJ75" s="527"/>
      <c r="AK75" s="527"/>
      <c r="AL75" s="527"/>
      <c r="AM75" s="527"/>
      <c r="AN75" s="527"/>
      <c r="AO75" s="527"/>
      <c r="AP75" s="527"/>
      <c r="AQ75" s="527"/>
      <c r="AR75" s="527"/>
      <c r="AS75" s="527"/>
      <c r="AT75" s="527"/>
      <c r="CG75" s="527"/>
      <c r="CH75" s="527"/>
      <c r="CI75" s="527"/>
      <c r="CJ75" s="527"/>
      <c r="CK75" s="527"/>
      <c r="CL75" s="527"/>
      <c r="CM75" s="527"/>
      <c r="CN75" s="527"/>
      <c r="CO75" s="527"/>
      <c r="CP75" s="527"/>
      <c r="CQ75" s="527"/>
      <c r="CR75" s="527"/>
      <c r="CS75" s="527"/>
      <c r="CT75" s="527"/>
      <c r="CU75" s="527"/>
      <c r="CV75" s="527"/>
      <c r="CW75" s="527"/>
      <c r="CX75" s="527"/>
      <c r="CY75" s="527"/>
      <c r="CZ75" s="527"/>
      <c r="DA75" s="527"/>
      <c r="DB75" s="527"/>
      <c r="DC75" s="527"/>
      <c r="DD75" s="527"/>
    </row>
    <row r="76" spans="1:108" customFormat="1" ht="12.95" customHeight="1" x14ac:dyDescent="0.2">
      <c r="A76" s="527"/>
      <c r="B76" s="530"/>
      <c r="C76" s="334"/>
      <c r="D76" s="334"/>
      <c r="E76" s="501"/>
      <c r="F76" s="334"/>
      <c r="G76" s="502"/>
      <c r="H76" s="502"/>
      <c r="I76" s="502"/>
      <c r="J76" s="502"/>
      <c r="K76" s="502"/>
      <c r="L76" s="334"/>
      <c r="M76" s="334"/>
      <c r="N76" s="334"/>
      <c r="O76" s="334"/>
      <c r="P76" s="327"/>
      <c r="Q76" s="527"/>
      <c r="R76" s="527"/>
      <c r="Z76" s="527"/>
      <c r="AA76" s="527"/>
      <c r="AB76" s="527"/>
      <c r="AC76" s="527"/>
      <c r="AD76" s="527"/>
      <c r="AE76" s="527"/>
      <c r="AF76" s="527"/>
      <c r="AG76" s="527"/>
      <c r="AH76" s="527"/>
      <c r="AI76" s="527"/>
      <c r="AJ76" s="527"/>
      <c r="AK76" s="527"/>
      <c r="AL76" s="527"/>
      <c r="AM76" s="527"/>
      <c r="AN76" s="527"/>
      <c r="AO76" s="527"/>
      <c r="AP76" s="527"/>
      <c r="AQ76" s="527"/>
      <c r="AR76" s="527"/>
      <c r="AS76" s="527"/>
      <c r="AT76" s="527"/>
      <c r="CG76" s="527"/>
      <c r="CH76" s="527"/>
      <c r="CI76" s="527"/>
      <c r="CJ76" s="527"/>
      <c r="CK76" s="527"/>
      <c r="CL76" s="527"/>
      <c r="CM76" s="527"/>
      <c r="CN76" s="527"/>
      <c r="CO76" s="527"/>
      <c r="CP76" s="527"/>
      <c r="CQ76" s="527"/>
      <c r="CR76" s="527"/>
      <c r="CS76" s="527"/>
      <c r="CT76" s="527"/>
      <c r="CU76" s="527"/>
      <c r="CV76" s="527"/>
      <c r="CW76" s="527"/>
      <c r="CX76" s="527"/>
      <c r="CY76" s="527"/>
      <c r="CZ76" s="527"/>
      <c r="DA76" s="527"/>
      <c r="DB76" s="527"/>
      <c r="DC76" s="527"/>
      <c r="DD76" s="527"/>
    </row>
    <row r="77" spans="1:108" customFormat="1" ht="15.75" x14ac:dyDescent="0.2">
      <c r="A77" s="527"/>
      <c r="B77" s="530"/>
      <c r="C77" s="334"/>
      <c r="D77" s="489" t="s">
        <v>42</v>
      </c>
      <c r="E77" s="489"/>
      <c r="F77" s="486" t="s">
        <v>43</v>
      </c>
      <c r="G77" s="502"/>
      <c r="H77" s="334"/>
      <c r="I77" s="486" t="s">
        <v>43</v>
      </c>
      <c r="J77" s="334"/>
      <c r="K77" s="334"/>
      <c r="L77" s="486" t="s">
        <v>43</v>
      </c>
      <c r="M77" s="339"/>
      <c r="N77" s="339"/>
      <c r="O77" s="486" t="s">
        <v>35</v>
      </c>
      <c r="P77" s="503"/>
      <c r="Q77" s="527"/>
      <c r="R77" s="527"/>
      <c r="Z77" s="527"/>
      <c r="AA77" s="527"/>
      <c r="AB77" s="527"/>
      <c r="AC77" s="527"/>
      <c r="AD77" s="527"/>
      <c r="AE77" s="527"/>
      <c r="AF77" s="527"/>
      <c r="AG77" s="527"/>
      <c r="AH77" s="527"/>
      <c r="AI77" s="527"/>
      <c r="AJ77" s="527"/>
      <c r="AK77" s="527"/>
      <c r="AL77" s="527"/>
      <c r="AM77" s="527"/>
      <c r="AN77" s="527"/>
      <c r="AO77" s="527"/>
      <c r="AP77" s="527"/>
      <c r="AQ77" s="527"/>
      <c r="AR77" s="527"/>
      <c r="AS77" s="527"/>
      <c r="AT77" s="527"/>
      <c r="CG77" s="527"/>
      <c r="CH77" s="527"/>
      <c r="CI77" s="527"/>
      <c r="CJ77" s="527"/>
      <c r="CK77" s="527"/>
      <c r="CL77" s="527"/>
      <c r="CM77" s="527"/>
      <c r="CN77" s="527"/>
      <c r="CO77" s="527"/>
      <c r="CP77" s="527"/>
      <c r="CQ77" s="527"/>
      <c r="CR77" s="527"/>
      <c r="CS77" s="527"/>
      <c r="CT77" s="527"/>
      <c r="CU77" s="527"/>
      <c r="CV77" s="527"/>
      <c r="CW77" s="527"/>
      <c r="CX77" s="527"/>
      <c r="CY77" s="527"/>
      <c r="CZ77" s="527"/>
      <c r="DA77" s="527"/>
      <c r="DB77" s="527"/>
      <c r="DC77" s="527"/>
      <c r="DD77" s="527"/>
    </row>
    <row r="78" spans="1:108" customFormat="1" ht="12.95" customHeight="1" thickBot="1" x14ac:dyDescent="0.25">
      <c r="A78" s="527"/>
      <c r="B78" s="530"/>
      <c r="C78" s="334"/>
      <c r="D78" s="334"/>
      <c r="E78" s="504"/>
      <c r="F78" s="490" t="s">
        <v>44</v>
      </c>
      <c r="G78" s="334"/>
      <c r="H78" s="334"/>
      <c r="I78" s="490" t="s">
        <v>44</v>
      </c>
      <c r="J78" s="334"/>
      <c r="K78" s="334"/>
      <c r="L78" s="490" t="s">
        <v>45</v>
      </c>
      <c r="M78" s="334"/>
      <c r="N78" s="334"/>
      <c r="O78" s="490" t="s">
        <v>46</v>
      </c>
      <c r="P78" s="327"/>
      <c r="Q78" s="527"/>
      <c r="R78" s="527"/>
      <c r="Z78" s="527"/>
      <c r="AA78" s="527"/>
      <c r="AB78" s="527"/>
      <c r="AC78" s="527"/>
      <c r="AD78" s="527"/>
      <c r="AE78" s="527"/>
      <c r="AF78" s="527"/>
      <c r="AG78" s="527"/>
      <c r="AH78" s="527"/>
      <c r="AI78" s="527"/>
      <c r="AJ78" s="527"/>
      <c r="AK78" s="527"/>
      <c r="AL78" s="527"/>
      <c r="AM78" s="527"/>
      <c r="AN78" s="527"/>
      <c r="AO78" s="527"/>
      <c r="AP78" s="527"/>
      <c r="AQ78" s="527"/>
      <c r="AR78" s="527"/>
      <c r="AS78" s="527"/>
      <c r="AT78" s="527"/>
      <c r="CG78" s="527"/>
      <c r="CH78" s="527"/>
      <c r="CI78" s="527"/>
      <c r="CJ78" s="527"/>
      <c r="CK78" s="527"/>
      <c r="CL78" s="527"/>
      <c r="CM78" s="527"/>
      <c r="CN78" s="527"/>
      <c r="CO78" s="527"/>
      <c r="CP78" s="527"/>
      <c r="CQ78" s="527"/>
      <c r="CR78" s="527"/>
      <c r="CS78" s="527"/>
      <c r="CT78" s="527"/>
      <c r="CU78" s="527"/>
      <c r="CV78" s="527"/>
      <c r="CW78" s="527"/>
      <c r="CX78" s="527"/>
      <c r="CY78" s="527"/>
      <c r="CZ78" s="527"/>
      <c r="DA78" s="527"/>
      <c r="DB78" s="527"/>
      <c r="DC78" s="527"/>
      <c r="DD78" s="527"/>
    </row>
    <row r="79" spans="1:108" customFormat="1" ht="15.95" customHeight="1" thickBot="1" x14ac:dyDescent="0.25">
      <c r="A79" s="527"/>
      <c r="B79" s="530"/>
      <c r="C79" s="334"/>
      <c r="D79" s="334"/>
      <c r="E79" s="500" t="s">
        <v>47</v>
      </c>
      <c r="F79" s="505">
        <f>'Carbon Calculator'!E132</f>
        <v>10.281449733364269</v>
      </c>
      <c r="G79" s="334"/>
      <c r="H79" s="334"/>
      <c r="I79" s="505">
        <f>'Carbon Calculator'!I132</f>
        <v>11.777151710377476</v>
      </c>
      <c r="J79" s="334"/>
      <c r="K79" s="334"/>
      <c r="L79" s="505">
        <f>F79-I79</f>
        <v>-1.4957019770132067</v>
      </c>
      <c r="M79" s="334"/>
      <c r="N79" s="334"/>
      <c r="O79" s="506">
        <f>L79/F79</f>
        <v>-0.14547578559466312</v>
      </c>
      <c r="P79" s="327"/>
      <c r="Q79" s="527"/>
      <c r="R79" s="527"/>
      <c r="Z79" s="527"/>
      <c r="AA79" s="527"/>
      <c r="AB79" s="527"/>
      <c r="AC79" s="527"/>
      <c r="AD79" s="527"/>
      <c r="AE79" s="527"/>
      <c r="AF79" s="527"/>
      <c r="AG79" s="527"/>
      <c r="AH79" s="527"/>
      <c r="AI79" s="527"/>
      <c r="AJ79" s="527"/>
      <c r="AK79" s="527"/>
      <c r="AL79" s="527"/>
      <c r="AM79" s="527"/>
      <c r="AN79" s="527"/>
      <c r="AO79" s="527"/>
      <c r="AP79" s="527"/>
      <c r="AQ79" s="527"/>
      <c r="AR79" s="527"/>
      <c r="AS79" s="527"/>
      <c r="AT79" s="527"/>
      <c r="CG79" s="527"/>
      <c r="CH79" s="527"/>
      <c r="CI79" s="527"/>
      <c r="CJ79" s="527"/>
      <c r="CK79" s="527"/>
      <c r="CL79" s="527"/>
      <c r="CM79" s="527"/>
      <c r="CN79" s="527"/>
      <c r="CO79" s="527"/>
      <c r="CP79" s="527"/>
      <c r="CQ79" s="527"/>
      <c r="CR79" s="527"/>
      <c r="CS79" s="527"/>
      <c r="CT79" s="527"/>
      <c r="CU79" s="527"/>
      <c r="CV79" s="527"/>
      <c r="CW79" s="527"/>
      <c r="CX79" s="527"/>
      <c r="CY79" s="527"/>
      <c r="CZ79" s="527"/>
      <c r="DA79" s="527"/>
      <c r="DB79" s="527"/>
      <c r="DC79" s="527"/>
      <c r="DD79" s="527"/>
    </row>
    <row r="80" spans="1:108" customFormat="1" ht="15.95" customHeight="1" thickBot="1" x14ac:dyDescent="0.25">
      <c r="A80" s="527"/>
      <c r="B80" s="530"/>
      <c r="C80" s="334"/>
      <c r="D80" s="334"/>
      <c r="E80" s="500" t="s">
        <v>48</v>
      </c>
      <c r="F80" s="505">
        <f>'Carbon Calculator'!E131</f>
        <v>8.2106788715740002</v>
      </c>
      <c r="G80" s="334"/>
      <c r="H80" s="334"/>
      <c r="I80" s="505">
        <f>'Carbon Calculator'!I131</f>
        <v>5.6131173200386901E-2</v>
      </c>
      <c r="J80" s="334"/>
      <c r="K80" s="334"/>
      <c r="L80" s="505">
        <f>F80-I80</f>
        <v>8.154547698373614</v>
      </c>
      <c r="M80" s="334"/>
      <c r="N80" s="334"/>
      <c r="O80" s="506">
        <f>L80/F80</f>
        <v>0.99316363797947127</v>
      </c>
      <c r="P80" s="327"/>
      <c r="Q80" s="527"/>
      <c r="R80" s="527"/>
      <c r="Z80" s="527"/>
      <c r="AA80" s="527"/>
      <c r="AB80" s="527"/>
      <c r="AC80" s="527"/>
      <c r="AD80" s="527"/>
      <c r="AE80" s="527"/>
      <c r="AF80" s="527"/>
      <c r="AG80" s="527"/>
      <c r="AH80" s="527"/>
      <c r="AI80" s="527"/>
      <c r="AJ80" s="527"/>
      <c r="AK80" s="527"/>
      <c r="AL80" s="527"/>
      <c r="AM80" s="527"/>
      <c r="AN80" s="527"/>
      <c r="AO80" s="527"/>
      <c r="AP80" s="527"/>
      <c r="AQ80" s="527"/>
      <c r="AR80" s="527"/>
      <c r="AS80" s="527"/>
      <c r="AT80" s="527"/>
      <c r="CG80" s="527"/>
      <c r="CH80" s="527"/>
      <c r="CI80" s="527"/>
      <c r="CJ80" s="527"/>
      <c r="CK80" s="527"/>
      <c r="CL80" s="527"/>
      <c r="CM80" s="527"/>
      <c r="CN80" s="527"/>
      <c r="CO80" s="527"/>
      <c r="CP80" s="527"/>
      <c r="CQ80" s="527"/>
      <c r="CR80" s="527"/>
      <c r="CS80" s="527"/>
      <c r="CT80" s="527"/>
      <c r="CU80" s="527"/>
      <c r="CV80" s="527"/>
      <c r="CW80" s="527"/>
      <c r="CX80" s="527"/>
      <c r="CY80" s="527"/>
      <c r="CZ80" s="527"/>
      <c r="DA80" s="527"/>
      <c r="DB80" s="527"/>
      <c r="DC80" s="527"/>
      <c r="DD80" s="527"/>
    </row>
    <row r="81" spans="1:108" customFormat="1" ht="15.95" customHeight="1" thickBot="1" x14ac:dyDescent="0.3">
      <c r="A81" s="527"/>
      <c r="B81" s="530"/>
      <c r="C81" s="334"/>
      <c r="D81" s="334"/>
      <c r="E81" s="500" t="s">
        <v>49</v>
      </c>
      <c r="F81" s="507">
        <f>'Carbon Calculator'!E130</f>
        <v>18394.512756131779</v>
      </c>
      <c r="G81" s="334"/>
      <c r="H81" s="334"/>
      <c r="I81" s="507">
        <f>'Carbon Calculator'!I130</f>
        <v>11226.234640077382</v>
      </c>
      <c r="J81" s="334"/>
      <c r="K81" s="334"/>
      <c r="L81" s="505">
        <f>F81-I81</f>
        <v>7168.2781160543964</v>
      </c>
      <c r="M81" s="334"/>
      <c r="N81" s="334"/>
      <c r="O81" s="506">
        <f>L81/F81</f>
        <v>0.38969654761118167</v>
      </c>
      <c r="P81" s="327"/>
      <c r="Q81" s="527"/>
      <c r="R81" s="527"/>
      <c r="Z81" s="527"/>
      <c r="AA81" s="527"/>
      <c r="AB81" s="527"/>
      <c r="AC81" s="527"/>
      <c r="AD81" s="527"/>
      <c r="AE81" s="527"/>
      <c r="AF81" s="527"/>
      <c r="AG81" s="527"/>
      <c r="AH81" s="527"/>
      <c r="AI81" s="527"/>
      <c r="AJ81" s="527"/>
      <c r="AK81" s="527"/>
      <c r="AL81" s="527"/>
      <c r="AM81" s="527"/>
      <c r="AN81" s="527"/>
      <c r="AO81" s="527"/>
      <c r="AP81" s="527"/>
      <c r="AQ81" s="527"/>
      <c r="AR81" s="527"/>
      <c r="AS81" s="527"/>
      <c r="AT81" s="527"/>
      <c r="CG81" s="527"/>
      <c r="CH81" s="527"/>
      <c r="CI81" s="527"/>
      <c r="CJ81" s="527"/>
      <c r="CK81" s="527"/>
      <c r="CL81" s="527"/>
      <c r="CM81" s="527"/>
      <c r="CN81" s="527"/>
      <c r="CO81" s="527"/>
      <c r="CP81" s="527"/>
      <c r="CQ81" s="527"/>
      <c r="CR81" s="527"/>
      <c r="CS81" s="527"/>
      <c r="CT81" s="527"/>
      <c r="CU81" s="527"/>
      <c r="CV81" s="527"/>
      <c r="CW81" s="527"/>
      <c r="CX81" s="527"/>
      <c r="CY81" s="527"/>
      <c r="CZ81" s="527"/>
      <c r="DA81" s="527"/>
      <c r="DB81" s="527"/>
      <c r="DC81" s="527"/>
      <c r="DD81" s="527"/>
    </row>
    <row r="82" spans="1:108" customFormat="1" ht="12.95" customHeight="1" x14ac:dyDescent="0.2">
      <c r="A82" s="527"/>
      <c r="B82" s="530"/>
      <c r="C82" s="334"/>
      <c r="D82" s="334"/>
      <c r="E82" s="504"/>
      <c r="F82" s="334"/>
      <c r="G82" s="334"/>
      <c r="H82" s="334"/>
      <c r="I82" s="334"/>
      <c r="J82" s="334"/>
      <c r="K82" s="334"/>
      <c r="L82" s="334"/>
      <c r="M82" s="334"/>
      <c r="N82" s="334"/>
      <c r="O82" s="334"/>
      <c r="P82" s="327"/>
      <c r="Q82" s="527"/>
      <c r="R82" s="527"/>
      <c r="Z82" s="527"/>
      <c r="AA82" s="527"/>
      <c r="AB82" s="527"/>
      <c r="AC82" s="527"/>
      <c r="AD82" s="527"/>
      <c r="AE82" s="527"/>
      <c r="AF82" s="527"/>
      <c r="AG82" s="527"/>
      <c r="AH82" s="527"/>
      <c r="AI82" s="527"/>
      <c r="AJ82" s="527"/>
      <c r="AK82" s="527"/>
      <c r="AL82" s="527"/>
      <c r="AM82" s="527"/>
      <c r="AN82" s="527"/>
      <c r="AO82" s="527"/>
      <c r="AP82" s="527"/>
      <c r="AQ82" s="527"/>
      <c r="AR82" s="527"/>
      <c r="AS82" s="527"/>
      <c r="AT82" s="527"/>
      <c r="CG82" s="527"/>
      <c r="CH82" s="527"/>
      <c r="CI82" s="527"/>
      <c r="CJ82" s="527"/>
      <c r="CK82" s="527"/>
      <c r="CL82" s="527"/>
      <c r="CM82" s="527"/>
      <c r="CN82" s="527"/>
      <c r="CO82" s="527"/>
      <c r="CP82" s="527"/>
      <c r="CQ82" s="527"/>
      <c r="CR82" s="527"/>
      <c r="CS82" s="527"/>
      <c r="CT82" s="527"/>
      <c r="CU82" s="527"/>
      <c r="CV82" s="527"/>
      <c r="CW82" s="527"/>
      <c r="CX82" s="527"/>
      <c r="CY82" s="527"/>
      <c r="CZ82" s="527"/>
      <c r="DA82" s="527"/>
      <c r="DB82" s="527"/>
      <c r="DC82" s="527"/>
      <c r="DD82" s="527"/>
    </row>
    <row r="83" spans="1:108" customFormat="1" x14ac:dyDescent="0.2">
      <c r="A83" s="527"/>
      <c r="B83" s="530"/>
      <c r="C83" s="334"/>
      <c r="D83" s="334"/>
      <c r="E83" s="504"/>
      <c r="F83" s="334"/>
      <c r="G83" s="334"/>
      <c r="H83" s="334"/>
      <c r="I83" s="334"/>
      <c r="J83" s="334"/>
      <c r="K83" s="334"/>
      <c r="L83" s="334"/>
      <c r="M83" s="334"/>
      <c r="N83" s="334"/>
      <c r="O83" s="334"/>
      <c r="P83" s="327"/>
      <c r="Q83" s="527"/>
      <c r="R83" s="527"/>
      <c r="Z83" s="527"/>
      <c r="AA83" s="527"/>
      <c r="AB83" s="527"/>
      <c r="AC83" s="527"/>
      <c r="AD83" s="527"/>
      <c r="AE83" s="527"/>
      <c r="AF83" s="527"/>
      <c r="AG83" s="527"/>
      <c r="AH83" s="527"/>
      <c r="AI83" s="527"/>
      <c r="AJ83" s="527"/>
      <c r="AK83" s="527"/>
      <c r="AL83" s="527"/>
      <c r="AM83" s="527"/>
      <c r="AN83" s="527"/>
      <c r="AO83" s="527"/>
      <c r="AP83" s="527"/>
      <c r="AQ83" s="527"/>
      <c r="AR83" s="527"/>
      <c r="AS83" s="527"/>
      <c r="AT83" s="527"/>
      <c r="CG83" s="527"/>
      <c r="CH83" s="527"/>
      <c r="CI83" s="527"/>
      <c r="CJ83" s="527"/>
      <c r="CK83" s="527"/>
      <c r="CL83" s="527"/>
      <c r="CM83" s="527"/>
      <c r="CN83" s="527"/>
      <c r="CO83" s="527"/>
      <c r="CP83" s="527"/>
      <c r="CQ83" s="527"/>
      <c r="CR83" s="527"/>
      <c r="CS83" s="527"/>
      <c r="CT83" s="527"/>
      <c r="CU83" s="527"/>
      <c r="CV83" s="527"/>
      <c r="CW83" s="527"/>
      <c r="CX83" s="527"/>
      <c r="CY83" s="527"/>
      <c r="CZ83" s="527"/>
      <c r="DA83" s="527"/>
      <c r="DB83" s="527"/>
      <c r="DC83" s="527"/>
      <c r="DD83" s="527"/>
    </row>
    <row r="84" spans="1:108" customFormat="1" ht="12.95" customHeight="1" thickBot="1" x14ac:dyDescent="0.25">
      <c r="A84" s="527"/>
      <c r="B84" s="530"/>
      <c r="C84" s="334"/>
      <c r="D84" s="334"/>
      <c r="E84" s="552" t="s">
        <v>50</v>
      </c>
      <c r="F84" s="334"/>
      <c r="G84" s="334"/>
      <c r="H84" s="334"/>
      <c r="I84" s="334"/>
      <c r="J84" s="334"/>
      <c r="K84" s="334"/>
      <c r="L84" s="334"/>
      <c r="M84" s="334"/>
      <c r="N84" s="334"/>
      <c r="O84" s="334"/>
      <c r="P84" s="327"/>
      <c r="Q84" s="527"/>
      <c r="R84" s="527"/>
      <c r="Z84" s="527"/>
      <c r="AA84" s="527"/>
      <c r="AB84" s="527"/>
      <c r="AC84" s="527"/>
      <c r="AD84" s="527"/>
      <c r="AE84" s="527"/>
      <c r="AF84" s="527"/>
      <c r="AG84" s="527"/>
      <c r="AH84" s="527"/>
      <c r="AI84" s="527"/>
      <c r="AJ84" s="527"/>
      <c r="AK84" s="527"/>
      <c r="AL84" s="527"/>
      <c r="AM84" s="527"/>
      <c r="AN84" s="527"/>
      <c r="AO84" s="527"/>
      <c r="AP84" s="527"/>
      <c r="AQ84" s="527"/>
      <c r="AR84" s="527"/>
      <c r="AS84" s="527"/>
      <c r="AT84" s="527"/>
      <c r="CG84" s="527"/>
      <c r="CH84" s="527"/>
      <c r="CI84" s="527"/>
      <c r="CJ84" s="527"/>
      <c r="CK84" s="527"/>
      <c r="CL84" s="527"/>
      <c r="CM84" s="527"/>
      <c r="CN84" s="527"/>
      <c r="CO84" s="527"/>
      <c r="CP84" s="527"/>
      <c r="CQ84" s="527"/>
      <c r="CR84" s="527"/>
      <c r="CS84" s="527"/>
      <c r="CT84" s="527"/>
      <c r="CU84" s="527"/>
      <c r="CV84" s="527"/>
      <c r="CW84" s="527"/>
      <c r="CX84" s="527"/>
      <c r="CY84" s="527"/>
      <c r="CZ84" s="527"/>
      <c r="DA84" s="527"/>
      <c r="DB84" s="527"/>
      <c r="DC84" s="527"/>
      <c r="DD84" s="527"/>
    </row>
    <row r="85" spans="1:108" customFormat="1" ht="15" thickBot="1" x14ac:dyDescent="0.3">
      <c r="A85" s="527"/>
      <c r="B85" s="530"/>
      <c r="C85" s="334"/>
      <c r="D85" s="334"/>
      <c r="E85" s="552" t="s">
        <v>28</v>
      </c>
      <c r="F85" s="334"/>
      <c r="G85" s="334"/>
      <c r="H85" s="334"/>
      <c r="I85" s="553" t="s">
        <v>51</v>
      </c>
      <c r="J85" s="507">
        <f>IF(Calc!B104&gt;0,Calc!B104,"n/a")</f>
        <v>8128.7740588478591</v>
      </c>
      <c r="K85" s="554" t="s">
        <v>52</v>
      </c>
      <c r="L85" s="334"/>
      <c r="M85" s="334"/>
      <c r="N85" s="334"/>
      <c r="O85" s="334"/>
      <c r="P85" s="327"/>
      <c r="Q85" s="527"/>
      <c r="R85" s="527"/>
      <c r="Z85" s="527"/>
      <c r="AA85" s="527"/>
      <c r="AB85" s="527"/>
      <c r="AC85" s="527"/>
      <c r="AD85" s="527"/>
      <c r="AE85" s="527"/>
      <c r="AF85" s="527"/>
      <c r="AG85" s="527"/>
      <c r="AH85" s="527"/>
      <c r="AI85" s="527"/>
      <c r="AJ85" s="527"/>
      <c r="AK85" s="527"/>
      <c r="AL85" s="527"/>
      <c r="AM85" s="527"/>
      <c r="AN85" s="527"/>
      <c r="AO85" s="527"/>
      <c r="AP85" s="527"/>
      <c r="AQ85" s="527"/>
      <c r="AR85" s="527"/>
      <c r="AS85" s="527"/>
      <c r="AT85" s="527"/>
      <c r="CG85" s="527"/>
      <c r="CH85" s="527"/>
      <c r="CI85" s="527"/>
      <c r="CJ85" s="527"/>
      <c r="CK85" s="527"/>
      <c r="CL85" s="527"/>
      <c r="CM85" s="527"/>
      <c r="CN85" s="527"/>
      <c r="CO85" s="527"/>
      <c r="CP85" s="527"/>
      <c r="CQ85" s="527"/>
      <c r="CR85" s="527"/>
      <c r="CS85" s="527"/>
      <c r="CT85" s="527"/>
      <c r="CU85" s="527"/>
      <c r="CV85" s="527"/>
      <c r="CW85" s="527"/>
      <c r="CX85" s="527"/>
      <c r="CY85" s="527"/>
      <c r="CZ85" s="527"/>
      <c r="DA85" s="527"/>
      <c r="DB85" s="527"/>
      <c r="DC85" s="527"/>
      <c r="DD85" s="527"/>
    </row>
    <row r="86" spans="1:108" customFormat="1" ht="13.5" thickBot="1" x14ac:dyDescent="0.25">
      <c r="A86" s="527"/>
      <c r="B86" s="530"/>
      <c r="C86" s="334"/>
      <c r="D86" s="334"/>
      <c r="E86" s="504"/>
      <c r="F86" s="334"/>
      <c r="G86" s="334"/>
      <c r="H86" s="334"/>
      <c r="I86" s="553" t="s">
        <v>53</v>
      </c>
      <c r="J86" s="334"/>
      <c r="K86" s="334"/>
      <c r="L86" s="334"/>
      <c r="M86" s="334"/>
      <c r="N86" s="334"/>
      <c r="O86" s="334"/>
      <c r="P86" s="327"/>
      <c r="Q86" s="527"/>
      <c r="R86" s="527"/>
      <c r="Z86" s="527"/>
      <c r="AA86" s="527"/>
      <c r="AB86" s="527"/>
      <c r="AC86" s="527"/>
      <c r="AD86" s="527"/>
      <c r="AE86" s="527"/>
      <c r="AF86" s="527"/>
      <c r="AG86" s="527"/>
      <c r="AH86" s="527"/>
      <c r="AI86" s="527"/>
      <c r="AJ86" s="527"/>
      <c r="AK86" s="527"/>
      <c r="AL86" s="527"/>
      <c r="AM86" s="527"/>
      <c r="AN86" s="527"/>
      <c r="AO86" s="527"/>
      <c r="AP86" s="527"/>
      <c r="AQ86" s="527"/>
      <c r="AR86" s="527"/>
      <c r="AS86" s="527"/>
      <c r="AT86" s="527"/>
      <c r="CG86" s="527"/>
      <c r="CH86" s="527"/>
      <c r="CI86" s="527"/>
      <c r="CJ86" s="527"/>
      <c r="CK86" s="527"/>
      <c r="CL86" s="527"/>
      <c r="CM86" s="527"/>
      <c r="CN86" s="527"/>
      <c r="CO86" s="527"/>
      <c r="CP86" s="527"/>
      <c r="CQ86" s="527"/>
      <c r="CR86" s="527"/>
      <c r="CS86" s="527"/>
      <c r="CT86" s="527"/>
      <c r="CU86" s="527"/>
      <c r="CV86" s="527"/>
      <c r="CW86" s="527"/>
      <c r="CX86" s="527"/>
      <c r="CY86" s="527"/>
      <c r="CZ86" s="527"/>
      <c r="DA86" s="527"/>
      <c r="DB86" s="527"/>
      <c r="DC86" s="527"/>
      <c r="DD86" s="527"/>
    </row>
    <row r="87" spans="1:108" customFormat="1" ht="16.5" thickBot="1" x14ac:dyDescent="0.35">
      <c r="A87" s="527"/>
      <c r="B87" s="530"/>
      <c r="C87" s="334"/>
      <c r="D87" s="334"/>
      <c r="E87" s="504"/>
      <c r="F87" s="334"/>
      <c r="G87" s="334"/>
      <c r="H87" s="334"/>
      <c r="I87" s="334"/>
      <c r="J87" s="555">
        <f>IF(Calc!B102&gt;0,Calc!B102,"n/a")</f>
        <v>3.2515096235391434</v>
      </c>
      <c r="K87" s="554" t="s">
        <v>54</v>
      </c>
      <c r="L87" s="334"/>
      <c r="M87" s="334"/>
      <c r="N87" s="334"/>
      <c r="O87" s="334"/>
      <c r="P87" s="327"/>
      <c r="Q87" s="527"/>
      <c r="R87" s="527"/>
      <c r="Z87" s="527"/>
      <c r="AA87" s="527"/>
      <c r="AB87" s="527"/>
      <c r="AC87" s="527"/>
      <c r="AD87" s="527"/>
      <c r="AE87" s="527"/>
      <c r="AF87" s="527"/>
      <c r="AG87" s="527"/>
      <c r="AH87" s="527"/>
      <c r="AI87" s="527"/>
      <c r="AJ87" s="527"/>
      <c r="AK87" s="527"/>
      <c r="AL87" s="527"/>
      <c r="AM87" s="527"/>
      <c r="AN87" s="527"/>
      <c r="AO87" s="527"/>
      <c r="AP87" s="527"/>
      <c r="AQ87" s="527"/>
      <c r="AR87" s="527"/>
      <c r="AS87" s="527"/>
      <c r="AT87" s="527"/>
      <c r="CG87" s="527"/>
      <c r="CH87" s="527"/>
      <c r="CI87" s="527"/>
      <c r="CJ87" s="527"/>
      <c r="CK87" s="527"/>
      <c r="CL87" s="527"/>
      <c r="CM87" s="527"/>
      <c r="CN87" s="527"/>
      <c r="CO87" s="527"/>
      <c r="CP87" s="527"/>
      <c r="CQ87" s="527"/>
      <c r="CR87" s="527"/>
      <c r="CS87" s="527"/>
      <c r="CT87" s="527"/>
      <c r="CU87" s="527"/>
      <c r="CV87" s="527"/>
      <c r="CW87" s="527"/>
      <c r="CX87" s="527"/>
      <c r="CY87" s="527"/>
      <c r="CZ87" s="527"/>
      <c r="DA87" s="527"/>
      <c r="DB87" s="527"/>
      <c r="DC87" s="527"/>
      <c r="DD87" s="527"/>
    </row>
    <row r="88" spans="1:108" customFormat="1" x14ac:dyDescent="0.2">
      <c r="A88" s="527"/>
      <c r="B88" s="530"/>
      <c r="C88" s="334"/>
      <c r="D88" s="334"/>
      <c r="E88" s="504"/>
      <c r="F88" s="334"/>
      <c r="G88" s="334"/>
      <c r="H88" s="334"/>
      <c r="I88" s="334"/>
      <c r="J88" s="334"/>
      <c r="K88" s="334"/>
      <c r="L88" s="334"/>
      <c r="M88" s="334"/>
      <c r="N88" s="334"/>
      <c r="O88" s="334"/>
      <c r="P88" s="327"/>
      <c r="Q88" s="527"/>
      <c r="R88" s="527"/>
      <c r="Z88" s="527"/>
      <c r="AA88" s="527"/>
      <c r="AB88" s="527"/>
      <c r="AC88" s="527"/>
      <c r="AD88" s="527"/>
      <c r="AE88" s="527"/>
      <c r="AF88" s="527"/>
      <c r="AG88" s="527"/>
      <c r="AH88" s="527"/>
      <c r="AI88" s="527"/>
      <c r="AJ88" s="527"/>
      <c r="AK88" s="527"/>
      <c r="AL88" s="527"/>
      <c r="AM88" s="527"/>
      <c r="AN88" s="527"/>
      <c r="AO88" s="527"/>
      <c r="AP88" s="527"/>
      <c r="AQ88" s="527"/>
      <c r="AR88" s="527"/>
      <c r="AS88" s="527"/>
      <c r="AT88" s="527"/>
      <c r="CG88" s="527"/>
      <c r="CH88" s="527"/>
      <c r="CI88" s="527"/>
      <c r="CJ88" s="527"/>
      <c r="CK88" s="527"/>
      <c r="CL88" s="527"/>
      <c r="CM88" s="527"/>
      <c r="CN88" s="527"/>
      <c r="CO88" s="527"/>
      <c r="CP88" s="527"/>
      <c r="CQ88" s="527"/>
      <c r="CR88" s="527"/>
      <c r="CS88" s="527"/>
      <c r="CT88" s="527"/>
      <c r="CU88" s="527"/>
      <c r="CV88" s="527"/>
      <c r="CW88" s="527"/>
      <c r="CX88" s="527"/>
      <c r="CY88" s="527"/>
      <c r="CZ88" s="527"/>
      <c r="DA88" s="527"/>
      <c r="DB88" s="527"/>
      <c r="DC88" s="527"/>
      <c r="DD88" s="527"/>
    </row>
    <row r="89" spans="1:108" customFormat="1" ht="13.5" thickBot="1" x14ac:dyDescent="0.25">
      <c r="A89" s="527"/>
      <c r="B89" s="556"/>
      <c r="C89" s="557"/>
      <c r="D89" s="557"/>
      <c r="E89" s="557"/>
      <c r="F89" s="557"/>
      <c r="G89" s="557"/>
      <c r="H89" s="557"/>
      <c r="I89" s="557"/>
      <c r="J89" s="557"/>
      <c r="K89" s="557"/>
      <c r="L89" s="557"/>
      <c r="M89" s="557"/>
      <c r="N89" s="557"/>
      <c r="O89" s="557"/>
      <c r="P89" s="558"/>
      <c r="R89" s="527"/>
      <c r="Z89" s="527"/>
      <c r="AA89" s="527"/>
      <c r="AB89" s="527"/>
      <c r="AC89" s="527"/>
      <c r="AD89" s="527"/>
      <c r="AE89" s="527"/>
      <c r="AF89" s="527"/>
      <c r="AG89" s="527"/>
      <c r="AH89" s="527"/>
      <c r="AI89" s="527"/>
      <c r="AJ89" s="527"/>
      <c r="AK89" s="527"/>
      <c r="AL89" s="527"/>
      <c r="AM89" s="527"/>
      <c r="AN89" s="527"/>
      <c r="AO89" s="527"/>
      <c r="AP89" s="527"/>
      <c r="AQ89" s="527"/>
      <c r="AR89" s="527"/>
      <c r="AS89" s="527"/>
      <c r="AT89" s="527"/>
      <c r="CG89" s="527"/>
      <c r="CH89" s="527"/>
      <c r="CI89" s="527"/>
      <c r="CJ89" s="527"/>
      <c r="CK89" s="527"/>
      <c r="CL89" s="527"/>
      <c r="CM89" s="527"/>
      <c r="CN89" s="527"/>
      <c r="CO89" s="527"/>
      <c r="CP89" s="527"/>
      <c r="CQ89" s="527"/>
      <c r="CR89" s="527"/>
      <c r="CS89" s="527"/>
      <c r="CT89" s="527"/>
      <c r="CU89" s="527"/>
      <c r="CV89" s="527"/>
      <c r="CW89" s="527"/>
      <c r="CX89" s="527"/>
      <c r="CY89" s="527"/>
      <c r="CZ89" s="527"/>
      <c r="DA89" s="527"/>
      <c r="DB89" s="527"/>
      <c r="DC89" s="527"/>
      <c r="DD89" s="527"/>
    </row>
    <row r="90" spans="1:108" s="527" customFormat="1" x14ac:dyDescent="0.2"/>
    <row r="91" spans="1:108" s="527" customFormat="1" hidden="1" x14ac:dyDescent="0.2"/>
    <row r="92" spans="1:108" s="527" customFormat="1" hidden="1" x14ac:dyDescent="0.2"/>
    <row r="93" spans="1:108" s="527" customFormat="1" hidden="1" x14ac:dyDescent="0.2"/>
    <row r="94" spans="1:108" s="527" customFormat="1" hidden="1" x14ac:dyDescent="0.2"/>
    <row r="95" spans="1:108" s="527" customFormat="1" hidden="1" x14ac:dyDescent="0.2"/>
    <row r="96" spans="1:108" s="527" customFormat="1" hidden="1" x14ac:dyDescent="0.2"/>
    <row r="97" s="527" customFormat="1" hidden="1" x14ac:dyDescent="0.2"/>
    <row r="98" s="527" customFormat="1" hidden="1" x14ac:dyDescent="0.2"/>
    <row r="99" s="527" customFormat="1" hidden="1" x14ac:dyDescent="0.2"/>
    <row r="100" s="527" customFormat="1" hidden="1" x14ac:dyDescent="0.2"/>
    <row r="101" s="527" customFormat="1" hidden="1" x14ac:dyDescent="0.2"/>
    <row r="102" s="527" customFormat="1" hidden="1" x14ac:dyDescent="0.2"/>
  </sheetData>
  <sheetProtection selectLockedCells="1"/>
  <mergeCells count="6">
    <mergeCell ref="L66:O66"/>
    <mergeCell ref="F9:G9"/>
    <mergeCell ref="F23:G23"/>
    <mergeCell ref="F27:G27"/>
    <mergeCell ref="F36:G36"/>
    <mergeCell ref="F40:G40"/>
  </mergeCells>
  <phoneticPr fontId="0" type="noConversion"/>
  <conditionalFormatting sqref="F13">
    <cfRule type="expression" dxfId="19" priority="15">
      <formula>$S$12=2</formula>
    </cfRule>
  </conditionalFormatting>
  <conditionalFormatting sqref="F14">
    <cfRule type="expression" dxfId="18" priority="16">
      <formula>$S$12=1</formula>
    </cfRule>
    <cfRule type="expression" dxfId="17" priority="17">
      <formula>$S$12=2</formula>
    </cfRule>
  </conditionalFormatting>
  <conditionalFormatting sqref="I13">
    <cfRule type="expression" dxfId="16" priority="18">
      <formula>$U$12=2</formula>
    </cfRule>
  </conditionalFormatting>
  <conditionalFormatting sqref="I14">
    <cfRule type="expression" dxfId="15" priority="19">
      <formula>$U$12=1</formula>
    </cfRule>
    <cfRule type="expression" dxfId="14" priority="20">
      <formula>$U$12=2</formula>
    </cfRule>
  </conditionalFormatting>
  <conditionalFormatting sqref="L13">
    <cfRule type="expression" dxfId="13" priority="21">
      <formula>$W$12=2</formula>
    </cfRule>
  </conditionalFormatting>
  <conditionalFormatting sqref="L14">
    <cfRule type="expression" dxfId="12" priority="22">
      <formula>$W$12=1</formula>
    </cfRule>
    <cfRule type="expression" dxfId="11" priority="23">
      <formula>$W$12=2</formula>
    </cfRule>
  </conditionalFormatting>
  <conditionalFormatting sqref="O13">
    <cfRule type="expression" dxfId="10" priority="24">
      <formula>$Y$12=2</formula>
    </cfRule>
  </conditionalFormatting>
  <conditionalFormatting sqref="O14">
    <cfRule type="expression" dxfId="9" priority="25">
      <formula>$Y$12=1</formula>
    </cfRule>
    <cfRule type="expression" dxfId="8" priority="26">
      <formula>$Y$12=2</formula>
    </cfRule>
  </conditionalFormatting>
  <dataValidations count="15">
    <dataValidation type="list" allowBlank="1" showErrorMessage="1" promptTitle="Cooking" prompt="Yes_x000a_No" sqref="F55:F56" xr:uid="{A6751E05-3970-412E-A210-1D22EB7E580C}">
      <formula1>$E$84:$E$85</formula1>
    </dataValidation>
    <dataValidation type="whole" allowBlank="1" showErrorMessage="1" error="The value you have entered is outside of the specified range" prompt="Please enter a value between 500 and 6,000" sqref="F19" xr:uid="{56AF6A98-4A60-4EC2-B80E-A5FEA77E04C8}">
      <formula1>0</formula1>
      <formula2>6000</formula2>
    </dataValidation>
    <dataValidation type="list" allowBlank="1" showInputMessage="1" showErrorMessage="1" sqref="F5" xr:uid="{1A0D1D0B-FE14-4F7F-9D06-2FDF99D6CE33}">
      <formula1>list_States</formula1>
    </dataValidation>
    <dataValidation type="list" allowBlank="1" showInputMessage="1" showErrorMessage="1" sqref="F7" xr:uid="{CAC17E2D-7017-4645-8B42-8E30AE2FBA4C}">
      <formula1>list_City</formula1>
    </dataValidation>
    <dataValidation type="list" allowBlank="1" showInputMessage="1" showErrorMessage="1" sqref="F9" xr:uid="{CBB3BE38-BE54-4A1B-B1B2-99E4CF9622A8}">
      <formula1>list_Emission</formula1>
    </dataValidation>
    <dataValidation type="list" allowBlank="1" showInputMessage="1" showErrorMessage="1" sqref="F12" xr:uid="{9402B4D0-8194-46F1-8BA6-52A00996F23F}">
      <formula1>list_Naturalgas</formula1>
    </dataValidation>
    <dataValidation type="list" allowBlank="1" showInputMessage="1" showErrorMessage="1" sqref="I12" xr:uid="{BD71C685-22EF-4396-9680-33CF6A24995C}">
      <formula1>list_Electricity</formula1>
    </dataValidation>
    <dataValidation type="list" allowBlank="1" showInputMessage="1" showErrorMessage="1" sqref="L12" xr:uid="{DE51DD57-430B-4782-B6F8-6247D817381F}">
      <formula1>list_Oil</formula1>
    </dataValidation>
    <dataValidation type="list" allowBlank="1" showInputMessage="1" showErrorMessage="1" sqref="O12" xr:uid="{7A184AE3-E7F5-4F27-97CD-EFBF5EB2F755}">
      <formula1>list_Propane</formula1>
    </dataValidation>
    <dataValidation type="list" allowBlank="1" showInputMessage="1" showErrorMessage="1" sqref="F21 F34" xr:uid="{8826D58B-1597-4650-8178-8BED1AFECBD1}">
      <formula1>list_EnergySource</formula1>
    </dataValidation>
    <dataValidation type="list" allowBlank="1" showInputMessage="1" showErrorMessage="1" sqref="F23" xr:uid="{7554B72E-9D2B-4263-88D9-DF7AFE83A8CD}">
      <formula1>list_ElectricHeating</formula1>
    </dataValidation>
    <dataValidation type="list" allowBlank="1" showInputMessage="1" showErrorMessage="1" sqref="F27" xr:uid="{24689D45-3CC4-43BA-BA3F-E29B1FEFD7D6}">
      <formula1>list_GasHeating</formula1>
    </dataValidation>
    <dataValidation type="list" allowBlank="1" showInputMessage="1" showErrorMessage="1" sqref="F36" xr:uid="{8DED065C-9C66-46EA-8FB8-279E6D110DE6}">
      <formula1>list_WaterElectricSystem</formula1>
    </dataValidation>
    <dataValidation type="list" allowBlank="1" showInputMessage="1" showErrorMessage="1" sqref="F40" xr:uid="{7301846E-D6A6-4C5E-AE1F-E1EF09322F2E}">
      <formula1>list_WaterHeatingGas</formula1>
    </dataValidation>
    <dataValidation type="list" allowBlank="1" showInputMessage="1" showErrorMessage="1" sqref="F44 F57" xr:uid="{5421A6CF-2E83-48C6-895B-DB3DA8B53AB3}">
      <formula1>list_Dryer</formula1>
    </dataValidation>
  </dataValidations>
  <pageMargins left="0.25" right="0.25" top="0.75" bottom="0.75" header="0.3" footer="0.3"/>
  <pageSetup scale="51" orientation="portrait" r:id="rId1"/>
  <headerFooter alignWithMargins="0"/>
  <ignoredErrors>
    <ignoredError sqref="F48" unlockedFormula="1"/>
  </ignoredErrors>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8003CC-775C-43AB-B441-029773E27697}">
  <sheetPr codeName="Sheet2"/>
  <dimension ref="A1:T358"/>
  <sheetViews>
    <sheetView topLeftCell="B29" workbookViewId="0">
      <selection activeCell="F52" sqref="F52"/>
    </sheetView>
  </sheetViews>
  <sheetFormatPr defaultColWidth="9.140625" defaultRowHeight="12.75" x14ac:dyDescent="0.2"/>
  <cols>
    <col min="1" max="1" width="27.42578125" style="3" customWidth="1"/>
    <col min="2" max="2" width="39.85546875" style="3" customWidth="1"/>
    <col min="3" max="3" width="10.28515625" style="3" customWidth="1"/>
    <col min="4" max="4" width="16.7109375" style="3" customWidth="1"/>
    <col min="5" max="5" width="13.42578125" style="3" customWidth="1"/>
    <col min="6" max="6" width="10.7109375" style="3" customWidth="1"/>
    <col min="7" max="7" width="19.5703125" style="3" customWidth="1"/>
    <col min="8" max="8" width="49.42578125" style="3" customWidth="1"/>
    <col min="9" max="9" width="18.140625" style="3" customWidth="1"/>
    <col min="10" max="10" width="21" style="3" customWidth="1"/>
    <col min="11" max="11" width="27.28515625" style="3" customWidth="1"/>
    <col min="12" max="12" width="48" style="3" customWidth="1"/>
    <col min="13" max="20" width="9.140625" style="3"/>
    <col min="21" max="16384" width="9.140625" style="4"/>
  </cols>
  <sheetData>
    <row r="1" spans="1:12" x14ac:dyDescent="0.2">
      <c r="A1" s="2" t="s">
        <v>55</v>
      </c>
      <c r="B1" s="2"/>
      <c r="C1" s="2"/>
      <c r="D1" s="2"/>
      <c r="E1" s="317"/>
      <c r="F1" s="317"/>
      <c r="G1" s="317"/>
      <c r="H1" s="5" t="s">
        <v>56</v>
      </c>
      <c r="I1" s="317"/>
      <c r="J1" s="317"/>
      <c r="K1" s="317"/>
      <c r="L1" s="317"/>
    </row>
    <row r="3" spans="1:12" x14ac:dyDescent="0.2">
      <c r="A3" s="317" t="s">
        <v>57</v>
      </c>
      <c r="B3" s="5" t="s">
        <v>58</v>
      </c>
      <c r="C3" s="317"/>
      <c r="D3" s="317"/>
      <c r="E3" s="317"/>
      <c r="F3" s="317"/>
      <c r="G3" s="317"/>
      <c r="H3" s="5" t="s">
        <v>59</v>
      </c>
      <c r="I3" s="317"/>
      <c r="J3" s="5" t="s">
        <v>60</v>
      </c>
      <c r="K3" s="317"/>
      <c r="L3" s="317"/>
    </row>
    <row r="4" spans="1:12" x14ac:dyDescent="0.2">
      <c r="A4" s="317">
        <v>1</v>
      </c>
      <c r="B4" s="317" t="s">
        <v>61</v>
      </c>
      <c r="C4" s="368">
        <v>0.8</v>
      </c>
      <c r="D4" s="317"/>
      <c r="E4" s="317"/>
      <c r="F4" s="317"/>
      <c r="G4" s="317">
        <v>1</v>
      </c>
      <c r="H4" s="317" t="s">
        <v>62</v>
      </c>
      <c r="I4" s="317">
        <v>1</v>
      </c>
      <c r="J4" s="317" t="s">
        <v>62</v>
      </c>
      <c r="K4" s="317"/>
      <c r="L4" s="317"/>
    </row>
    <row r="5" spans="1:12" ht="15.75" x14ac:dyDescent="0.25">
      <c r="A5" s="317">
        <v>2</v>
      </c>
      <c r="B5" s="317" t="s">
        <v>63</v>
      </c>
      <c r="C5" s="368">
        <v>0.92</v>
      </c>
      <c r="D5" s="317"/>
      <c r="E5" s="317"/>
      <c r="F5" s="317"/>
      <c r="G5" s="317">
        <v>2</v>
      </c>
      <c r="H5" s="317" t="s">
        <v>64</v>
      </c>
      <c r="I5" s="317">
        <v>2</v>
      </c>
      <c r="J5" s="317" t="s">
        <v>65</v>
      </c>
      <c r="K5" s="317"/>
      <c r="L5" s="6"/>
    </row>
    <row r="6" spans="1:12" x14ac:dyDescent="0.2">
      <c r="A6" s="317">
        <v>3</v>
      </c>
      <c r="B6" s="317" t="s">
        <v>66</v>
      </c>
      <c r="C6" s="368">
        <v>0.97</v>
      </c>
      <c r="D6" s="317"/>
      <c r="E6" s="317"/>
      <c r="F6" s="317"/>
      <c r="G6" s="317">
        <v>3</v>
      </c>
      <c r="H6" s="317" t="s">
        <v>65</v>
      </c>
      <c r="I6" s="317">
        <v>3</v>
      </c>
      <c r="J6" s="317" t="s">
        <v>67</v>
      </c>
      <c r="K6" s="317"/>
      <c r="L6" s="317"/>
    </row>
    <row r="7" spans="1:12" x14ac:dyDescent="0.2">
      <c r="A7" s="317">
        <v>4</v>
      </c>
      <c r="B7" s="317" t="s">
        <v>68</v>
      </c>
      <c r="C7" s="368">
        <v>0.82</v>
      </c>
      <c r="D7" s="317"/>
      <c r="E7" s="317"/>
      <c r="F7" s="317"/>
      <c r="G7" s="317">
        <v>4</v>
      </c>
      <c r="H7" s="317" t="s">
        <v>67</v>
      </c>
      <c r="I7" s="317"/>
      <c r="J7" s="317"/>
      <c r="K7" s="317"/>
      <c r="L7" s="317"/>
    </row>
    <row r="8" spans="1:12" x14ac:dyDescent="0.2">
      <c r="A8" s="317">
        <v>5</v>
      </c>
      <c r="B8" s="317" t="s">
        <v>69</v>
      </c>
      <c r="C8" s="368">
        <v>0.92</v>
      </c>
      <c r="D8" s="317"/>
      <c r="E8" s="317"/>
      <c r="F8" s="317"/>
      <c r="G8" s="317" t="s">
        <v>70</v>
      </c>
      <c r="H8" s="371" t="str">
        <f>CHOOSE(heattype, "Electric", "Oil", "Propane", "Gas")</f>
        <v>Electric</v>
      </c>
      <c r="I8" s="317"/>
      <c r="J8" s="317"/>
      <c r="K8" s="317"/>
      <c r="L8" s="317"/>
    </row>
    <row r="9" spans="1:12" x14ac:dyDescent="0.2">
      <c r="A9" s="317">
        <v>6</v>
      </c>
      <c r="B9" s="317" t="s">
        <v>71</v>
      </c>
      <c r="C9" s="368">
        <v>0.96</v>
      </c>
      <c r="D9" s="317"/>
      <c r="E9" s="317"/>
      <c r="F9" s="317"/>
      <c r="G9" s="317" t="s">
        <v>72</v>
      </c>
      <c r="H9" s="372" t="str">
        <f>CHOOSE(wheattype, "Electric", "Oil", "Propane", "Gas")</f>
        <v>Electric</v>
      </c>
      <c r="I9" s="317"/>
      <c r="J9" s="317"/>
      <c r="K9" s="317"/>
      <c r="L9" s="317"/>
    </row>
    <row r="10" spans="1:12" x14ac:dyDescent="0.2">
      <c r="A10" s="317">
        <v>7</v>
      </c>
      <c r="B10" s="317" t="s">
        <v>73</v>
      </c>
      <c r="C10" s="368">
        <v>1.4</v>
      </c>
      <c r="D10" s="317"/>
      <c r="E10" s="373"/>
      <c r="F10" s="317"/>
      <c r="G10" s="317"/>
      <c r="H10" s="317" t="s">
        <v>74</v>
      </c>
      <c r="I10" s="317"/>
      <c r="J10" s="317"/>
      <c r="K10" s="317"/>
      <c r="L10" s="317"/>
    </row>
    <row r="11" spans="1:12" x14ac:dyDescent="0.2">
      <c r="A11" s="317" t="s">
        <v>75</v>
      </c>
      <c r="B11" s="317" t="s">
        <v>76</v>
      </c>
      <c r="C11" s="317"/>
      <c r="D11" s="317"/>
      <c r="E11" s="373"/>
      <c r="F11" s="317"/>
      <c r="G11" s="317" t="str">
        <f>"Space "&amp;H8&amp; " System"</f>
        <v>Space Electric System</v>
      </c>
      <c r="H11" s="317" t="str" cm="1">
        <f t="array" ref="H11">IFERROR(INDEX(CHOOSE(heattype, $B$87:$B$90, $H$87:$H$91, $L$87:$L$93, $B$4:$B$10), ROW(1:1)), "")</f>
        <v>Electric Furnace/Strip Heat - 99% AFUE</v>
      </c>
      <c r="I11" s="317"/>
      <c r="J11" s="317"/>
      <c r="K11" s="317"/>
      <c r="L11" s="317"/>
    </row>
    <row r="12" spans="1:12" x14ac:dyDescent="0.2">
      <c r="A12" s="317">
        <v>1</v>
      </c>
      <c r="B12" s="383" t="s">
        <v>77</v>
      </c>
      <c r="C12" s="317"/>
      <c r="D12" s="317"/>
      <c r="E12" s="373"/>
      <c r="F12" s="317"/>
      <c r="G12" s="317"/>
      <c r="H12" s="317" t="str" cm="1">
        <f t="array" ref="H12">IFERROR(INDEX(CHOOSE(heattype, $B$87:$B$90, $H$87:$H$91, $L$87:$L$93, $B$4:$B$10), ROW(2:2)), "")</f>
        <v>Standard Effic. Heat Pump - 7.5 HSPF2</v>
      </c>
      <c r="I12" s="317"/>
      <c r="J12" s="317"/>
      <c r="K12" s="317"/>
      <c r="L12" s="317"/>
    </row>
    <row r="13" spans="1:12" x14ac:dyDescent="0.2">
      <c r="A13" s="317">
        <v>2</v>
      </c>
      <c r="B13" s="383" t="s">
        <v>78</v>
      </c>
      <c r="C13" s="317"/>
      <c r="D13" s="317"/>
      <c r="E13" s="373"/>
      <c r="F13" s="317"/>
      <c r="G13" s="317"/>
      <c r="H13" s="317" t="str" cm="1">
        <f t="array" ref="H13">IFERROR(INDEX(CHOOSE(heattype, $B$87:$B$90, $H$87:$H$91, $L$87:$L$93, $B$4:$B$10), ROW(3:3)), "")</f>
        <v>Energy Star Heat Pump - 7.8 HSPF2</v>
      </c>
      <c r="I13" s="317"/>
      <c r="J13" s="317"/>
      <c r="K13" s="317"/>
      <c r="L13" s="317"/>
    </row>
    <row r="14" spans="1:12" x14ac:dyDescent="0.2">
      <c r="A14" s="317">
        <v>3</v>
      </c>
      <c r="B14" s="383" t="s">
        <v>79</v>
      </c>
      <c r="C14" s="5" t="s">
        <v>80</v>
      </c>
      <c r="D14" s="317"/>
      <c r="E14" s="373"/>
      <c r="F14" s="317"/>
      <c r="G14" s="317"/>
      <c r="H14" s="317" t="str" cm="1">
        <f t="array" ref="H14">IFERROR(INDEX(CHOOSE(heattype, $B$87:$B$90, $H$87:$H$91, $L$87:$L$93, $B$4:$B$10), ROW(4:4)), "")</f>
        <v>High Efficiency Heat Pump - 9 HSPF2</v>
      </c>
      <c r="I14" s="317"/>
      <c r="J14" s="317"/>
      <c r="K14" s="317"/>
      <c r="L14" s="317"/>
    </row>
    <row r="15" spans="1:12" x14ac:dyDescent="0.2">
      <c r="A15" s="317">
        <v>4</v>
      </c>
      <c r="B15" s="383"/>
      <c r="C15" s="317"/>
      <c r="D15" s="317"/>
      <c r="E15" s="373"/>
      <c r="F15" s="317"/>
      <c r="G15" s="317"/>
      <c r="H15" s="317" t="str" cm="1">
        <f t="array" ref="H15">IFERROR(INDEX(CHOOSE(heattype, $B$87:$B$89, $H$87:$H$91, $L$87:$L$93, $B$4:$B$10), ROW(5:5)), "")</f>
        <v/>
      </c>
      <c r="I15" s="317"/>
      <c r="J15" s="317"/>
      <c r="K15" s="317"/>
      <c r="L15" s="317"/>
    </row>
    <row r="16" spans="1:12" x14ac:dyDescent="0.2">
      <c r="A16" s="317">
        <v>5</v>
      </c>
      <c r="B16" s="383"/>
      <c r="C16" s="317"/>
      <c r="D16" s="317"/>
      <c r="E16" s="373"/>
      <c r="F16" s="317"/>
      <c r="G16" s="317"/>
      <c r="H16" s="317" t="str" cm="1">
        <f t="array" ref="H16">IFERROR(INDEX(CHOOSE(heattype, $B$87:$B$89, $H$87:$H$91, $L$87:$L$93, $B$4:$B$10), ROW(6:6)), "")</f>
        <v/>
      </c>
      <c r="I16" s="317"/>
      <c r="J16" s="317"/>
      <c r="K16" s="317"/>
      <c r="L16" s="317"/>
    </row>
    <row r="17" spans="1:12" x14ac:dyDescent="0.2">
      <c r="A17" s="317"/>
      <c r="B17" s="317"/>
      <c r="C17" s="317"/>
      <c r="D17" s="317"/>
      <c r="E17" s="373"/>
      <c r="F17" s="317"/>
      <c r="G17" s="317"/>
      <c r="H17" s="317" t="str" cm="1">
        <f t="array" ref="H17">IFERROR(INDEX(CHOOSE(heattype, $B$87:$B$89, $H$87:$H$91, $L$87:$L$93, $B$4:$B$10), ROW(7:7)), "")</f>
        <v/>
      </c>
      <c r="I17" s="317"/>
      <c r="J17" s="317"/>
      <c r="K17" s="317"/>
      <c r="L17" s="317"/>
    </row>
    <row r="18" spans="1:12" x14ac:dyDescent="0.2">
      <c r="A18" s="317"/>
      <c r="B18" s="317"/>
      <c r="C18" s="317"/>
      <c r="D18" s="317"/>
      <c r="E18" s="373"/>
      <c r="F18" s="317"/>
      <c r="G18" s="317" t="str">
        <f>"Water "&amp;H9&amp; " System"</f>
        <v>Water Electric System</v>
      </c>
      <c r="H18" s="317" t="str" cm="1">
        <f t="array" ref="H18">IFERROR(INDEX(CHOOSE(wheattype,$B$104:$B$107,$H$96:$H$97,$L$96:$L$103, $B$94:$B$101), ROW(1:1)), "")</f>
        <v>Standard: UEF = 0.92</v>
      </c>
      <c r="I18" s="317"/>
      <c r="J18" s="317"/>
      <c r="K18" s="317"/>
      <c r="L18" s="317"/>
    </row>
    <row r="19" spans="1:12" x14ac:dyDescent="0.2">
      <c r="A19" s="317"/>
      <c r="B19" s="317"/>
      <c r="C19" s="317"/>
      <c r="D19" s="317"/>
      <c r="E19" s="373"/>
      <c r="F19" s="317"/>
      <c r="G19" s="317"/>
      <c r="H19" s="317" t="str" cm="1">
        <f t="array" ref="H19">IFERROR(INDEX(CHOOSE(wheattype,$B$104:$B$107,$H$96:$H$97,$L$96:$L$103, $B$94:$B$101), ROW(2:2)), "")</f>
        <v>High-Performing: UEF = 0.93</v>
      </c>
      <c r="I19" s="317"/>
      <c r="J19" s="317"/>
      <c r="K19" s="317"/>
      <c r="L19" s="317"/>
    </row>
    <row r="20" spans="1:12" x14ac:dyDescent="0.2">
      <c r="A20" s="317" t="s">
        <v>81</v>
      </c>
      <c r="B20" s="5" t="s">
        <v>82</v>
      </c>
      <c r="C20" s="317"/>
      <c r="D20" s="317" t="s">
        <v>83</v>
      </c>
      <c r="E20" s="317" t="s">
        <v>84</v>
      </c>
      <c r="F20" s="317"/>
      <c r="G20" s="317"/>
      <c r="H20" s="317" t="str" cm="1">
        <f t="array" ref="H20">IFERROR(INDEX(CHOOSE(wheattype,$B$104:$B$107,$H$96:$H$97,$L$96:$L$103, $B$94:$B$101), ROW(3:3)), "")</f>
        <v>Whole Home Electric Tankless:UE = .91</v>
      </c>
      <c r="I20" s="317"/>
      <c r="J20" s="317"/>
      <c r="K20" s="317"/>
      <c r="L20" s="317"/>
    </row>
    <row r="21" spans="1:12" x14ac:dyDescent="0.2">
      <c r="A21" s="317">
        <v>1</v>
      </c>
      <c r="B21" s="317" t="s">
        <v>85</v>
      </c>
      <c r="C21" s="317" t="s">
        <v>86</v>
      </c>
      <c r="D21" s="317" t="s">
        <v>86</v>
      </c>
      <c r="E21" s="317">
        <v>1</v>
      </c>
      <c r="F21" s="317">
        <f>A21</f>
        <v>1</v>
      </c>
      <c r="G21" s="317"/>
      <c r="H21" s="317" t="str" cm="1">
        <f t="array" ref="H21">IFERROR(INDEX(CHOOSE(wheattype,$B$104:$B$107,$H$96:$H$97,$L$96:$L$103, $B$94:$B$101), ROW(4:4)), "")</f>
        <v>Elec. Heat Pump Water Heater:UEF=3.0</v>
      </c>
      <c r="I21" s="317"/>
      <c r="J21" s="317"/>
      <c r="K21" s="317"/>
      <c r="L21" s="317"/>
    </row>
    <row r="22" spans="1:12" x14ac:dyDescent="0.2">
      <c r="A22" s="317">
        <v>2</v>
      </c>
      <c r="B22" s="317" t="s">
        <v>87</v>
      </c>
      <c r="C22" s="317" t="s">
        <v>88</v>
      </c>
      <c r="D22" s="317" t="s">
        <v>89</v>
      </c>
      <c r="E22" s="317">
        <v>1</v>
      </c>
      <c r="F22" s="317">
        <f t="shared" ref="F22:F83" si="0">A22</f>
        <v>2</v>
      </c>
      <c r="G22" s="317"/>
      <c r="H22" s="317" t="str" cm="1">
        <f t="array" ref="H22">IFERROR(INDEX(CHOOSE(wheattype,$B$104:$B$107,$H$96:$H$97,$L$96:$L$103, $B$94:$B$101), ROW(5:5)), "")</f>
        <v/>
      </c>
      <c r="I22" s="317"/>
      <c r="J22" s="317"/>
      <c r="K22" s="317"/>
      <c r="L22" s="317"/>
    </row>
    <row r="23" spans="1:12" x14ac:dyDescent="0.2">
      <c r="A23" s="317">
        <v>3</v>
      </c>
      <c r="B23" s="317" t="s">
        <v>90</v>
      </c>
      <c r="C23" s="317" t="s">
        <v>91</v>
      </c>
      <c r="D23" s="317" t="s">
        <v>92</v>
      </c>
      <c r="E23" s="317">
        <v>0.92</v>
      </c>
      <c r="F23" s="317">
        <f t="shared" si="0"/>
        <v>3</v>
      </c>
      <c r="G23" s="317"/>
      <c r="H23" s="317" t="str" cm="1">
        <f t="array" ref="H23">IFERROR(INDEX(CHOOSE(wheattype,$B$104:$B$107,$H$96:$H$97,$L$96:$L$103, $B$94:$B$101), ROW(6:6)), "")</f>
        <v/>
      </c>
      <c r="I23" s="317"/>
      <c r="J23" s="317"/>
      <c r="K23" s="317"/>
      <c r="L23" s="317"/>
    </row>
    <row r="24" spans="1:12" x14ac:dyDescent="0.2">
      <c r="A24" s="317">
        <v>4</v>
      </c>
      <c r="B24" s="317" t="s">
        <v>93</v>
      </c>
      <c r="C24" s="317" t="s">
        <v>94</v>
      </c>
      <c r="D24" s="317" t="s">
        <v>95</v>
      </c>
      <c r="E24" s="317">
        <v>0.88</v>
      </c>
      <c r="F24" s="317">
        <f t="shared" si="0"/>
        <v>4</v>
      </c>
      <c r="G24" s="317"/>
      <c r="H24" s="317" t="str" cm="1">
        <f t="array" ref="H24">IFERROR(INDEX(CHOOSE(wheattype,$B$104:$B$107,$H$96:$H$97,$L$96:$L$103, $B$94:$B$101), ROW(7:7)), "")</f>
        <v/>
      </c>
      <c r="I24" s="317"/>
      <c r="J24" s="317"/>
      <c r="K24" s="317"/>
      <c r="L24" s="317"/>
    </row>
    <row r="25" spans="1:12" x14ac:dyDescent="0.2">
      <c r="A25" s="317">
        <v>5</v>
      </c>
      <c r="B25" s="317" t="s">
        <v>96</v>
      </c>
      <c r="C25" s="317" t="s">
        <v>97</v>
      </c>
      <c r="D25" s="317" t="s">
        <v>98</v>
      </c>
      <c r="E25" s="317">
        <v>0.82</v>
      </c>
      <c r="F25" s="317">
        <f t="shared" si="0"/>
        <v>5</v>
      </c>
      <c r="G25" s="317"/>
      <c r="H25" s="317" t="str" cm="1">
        <f t="array" ref="H25">IFERROR(INDEX(CHOOSE(wheattype,$B$104:$B$107,$H$96:$H$97,$L$96:$L$103, $B$94:$B$101), ROW(8:8)), "")</f>
        <v/>
      </c>
      <c r="I25" s="317"/>
      <c r="J25" s="317"/>
      <c r="K25" s="317"/>
      <c r="L25" s="317"/>
    </row>
    <row r="26" spans="1:12" x14ac:dyDescent="0.2">
      <c r="A26" s="317">
        <v>6</v>
      </c>
      <c r="B26" s="317" t="s">
        <v>99</v>
      </c>
      <c r="C26" s="317" t="s">
        <v>100</v>
      </c>
      <c r="D26" s="317" t="s">
        <v>89</v>
      </c>
      <c r="E26" s="317">
        <v>0.75</v>
      </c>
      <c r="F26" s="317">
        <f t="shared" si="0"/>
        <v>6</v>
      </c>
      <c r="G26" s="317"/>
      <c r="H26" s="317"/>
      <c r="I26" s="317"/>
      <c r="J26" s="317"/>
      <c r="K26" s="317"/>
      <c r="L26" s="317"/>
    </row>
    <row r="27" spans="1:12" x14ac:dyDescent="0.2">
      <c r="A27" s="317">
        <v>7</v>
      </c>
      <c r="B27" s="317" t="s">
        <v>101</v>
      </c>
      <c r="C27" s="317" t="s">
        <v>102</v>
      </c>
      <c r="D27" s="317" t="s">
        <v>98</v>
      </c>
      <c r="E27" s="317">
        <v>0.82</v>
      </c>
      <c r="F27" s="317">
        <f t="shared" si="0"/>
        <v>7</v>
      </c>
      <c r="G27" s="317"/>
      <c r="H27" s="317"/>
      <c r="I27" s="317"/>
      <c r="J27" s="317"/>
      <c r="K27" s="317"/>
      <c r="L27" s="317"/>
    </row>
    <row r="28" spans="1:12" x14ac:dyDescent="0.2">
      <c r="A28" s="317">
        <v>8</v>
      </c>
      <c r="B28" s="317" t="s">
        <v>103</v>
      </c>
      <c r="C28" s="317" t="s">
        <v>104</v>
      </c>
      <c r="D28" s="317" t="s">
        <v>105</v>
      </c>
      <c r="E28" s="317">
        <v>1.1000000000000001</v>
      </c>
      <c r="F28" s="317">
        <f t="shared" si="0"/>
        <v>8</v>
      </c>
      <c r="G28" s="317"/>
      <c r="H28" s="317"/>
      <c r="I28" s="317"/>
      <c r="J28" s="317"/>
      <c r="K28" s="317"/>
      <c r="L28" s="317"/>
    </row>
    <row r="29" spans="1:12" x14ac:dyDescent="0.2">
      <c r="A29" s="317">
        <v>9</v>
      </c>
      <c r="B29" s="317" t="s">
        <v>106</v>
      </c>
      <c r="C29" s="317" t="s">
        <v>107</v>
      </c>
      <c r="D29" s="317" t="s">
        <v>108</v>
      </c>
      <c r="E29" s="317">
        <v>0.75</v>
      </c>
      <c r="F29" s="317">
        <f t="shared" si="0"/>
        <v>9</v>
      </c>
      <c r="G29" s="317"/>
      <c r="H29" s="317"/>
      <c r="I29" s="317"/>
      <c r="J29" s="317"/>
      <c r="K29" s="317"/>
      <c r="L29" s="317"/>
    </row>
    <row r="30" spans="1:12" x14ac:dyDescent="0.2">
      <c r="A30" s="317">
        <v>10</v>
      </c>
      <c r="B30" s="317" t="s">
        <v>109</v>
      </c>
      <c r="C30" s="317" t="s">
        <v>110</v>
      </c>
      <c r="D30" s="317" t="s">
        <v>108</v>
      </c>
      <c r="E30" s="317">
        <v>0.75</v>
      </c>
      <c r="F30" s="317">
        <f t="shared" si="0"/>
        <v>10</v>
      </c>
      <c r="G30" s="317"/>
      <c r="H30" s="317"/>
      <c r="I30" s="317"/>
      <c r="J30" s="317"/>
      <c r="K30" s="317"/>
      <c r="L30" s="317"/>
    </row>
    <row r="31" spans="1:12" x14ac:dyDescent="0.2">
      <c r="A31" s="317">
        <v>11</v>
      </c>
      <c r="B31" s="317" t="s">
        <v>111</v>
      </c>
      <c r="C31" s="317" t="s">
        <v>112</v>
      </c>
      <c r="D31" s="317" t="s">
        <v>108</v>
      </c>
      <c r="E31" s="317">
        <v>0.75</v>
      </c>
      <c r="F31" s="317">
        <f t="shared" si="0"/>
        <v>11</v>
      </c>
      <c r="G31" s="317"/>
      <c r="H31" s="317"/>
      <c r="I31" s="317"/>
      <c r="J31" s="317"/>
      <c r="K31" s="317"/>
      <c r="L31" s="317"/>
    </row>
    <row r="32" spans="1:12" x14ac:dyDescent="0.2">
      <c r="A32" s="317">
        <v>12</v>
      </c>
      <c r="B32" s="317" t="s">
        <v>113</v>
      </c>
      <c r="C32" s="317" t="s">
        <v>114</v>
      </c>
      <c r="D32" s="317" t="s">
        <v>108</v>
      </c>
      <c r="E32" s="317">
        <v>0.75</v>
      </c>
      <c r="F32" s="317">
        <f t="shared" si="0"/>
        <v>12</v>
      </c>
      <c r="G32" s="317"/>
      <c r="H32" s="317"/>
      <c r="I32" s="317"/>
      <c r="J32" s="317"/>
      <c r="K32" s="317"/>
      <c r="L32" s="317"/>
    </row>
    <row r="33" spans="1:8" x14ac:dyDescent="0.2">
      <c r="A33" s="317">
        <v>13</v>
      </c>
      <c r="B33" s="317" t="s">
        <v>115</v>
      </c>
      <c r="C33" s="317" t="s">
        <v>116</v>
      </c>
      <c r="D33" s="317" t="s">
        <v>89</v>
      </c>
      <c r="E33" s="317">
        <v>0.75</v>
      </c>
      <c r="F33" s="317">
        <f t="shared" si="0"/>
        <v>13</v>
      </c>
      <c r="G33" s="317"/>
      <c r="H33" s="317"/>
    </row>
    <row r="34" spans="1:8" x14ac:dyDescent="0.2">
      <c r="A34" s="317">
        <v>14</v>
      </c>
      <c r="B34" s="317" t="s">
        <v>117</v>
      </c>
      <c r="C34" s="317" t="s">
        <v>118</v>
      </c>
      <c r="D34" s="317" t="s">
        <v>119</v>
      </c>
      <c r="E34" s="317">
        <v>1.06</v>
      </c>
      <c r="F34" s="317">
        <f t="shared" si="0"/>
        <v>14</v>
      </c>
      <c r="G34" s="317"/>
      <c r="H34" s="317"/>
    </row>
    <row r="35" spans="1:8" x14ac:dyDescent="0.2">
      <c r="A35" s="317">
        <v>15</v>
      </c>
      <c r="B35" s="317" t="s">
        <v>120</v>
      </c>
      <c r="C35" s="317" t="s">
        <v>121</v>
      </c>
      <c r="D35" s="317" t="s">
        <v>98</v>
      </c>
      <c r="E35" s="317">
        <v>0.82</v>
      </c>
      <c r="F35" s="317">
        <f t="shared" si="0"/>
        <v>15</v>
      </c>
      <c r="G35" s="317"/>
      <c r="H35" s="317"/>
    </row>
    <row r="36" spans="1:8" x14ac:dyDescent="0.2">
      <c r="A36" s="317">
        <v>16</v>
      </c>
      <c r="B36" s="317" t="s">
        <v>122</v>
      </c>
      <c r="C36" s="317" t="s">
        <v>123</v>
      </c>
      <c r="D36" s="317" t="s">
        <v>124</v>
      </c>
      <c r="E36" s="317">
        <v>1.03</v>
      </c>
      <c r="F36" s="317">
        <f t="shared" si="0"/>
        <v>16</v>
      </c>
      <c r="G36" s="317"/>
      <c r="H36" s="317"/>
    </row>
    <row r="37" spans="1:8" x14ac:dyDescent="0.2">
      <c r="A37" s="317">
        <v>17</v>
      </c>
      <c r="B37" s="317" t="s">
        <v>125</v>
      </c>
      <c r="C37" s="317" t="s">
        <v>126</v>
      </c>
      <c r="D37" s="317" t="s">
        <v>124</v>
      </c>
      <c r="E37" s="317">
        <v>1.03</v>
      </c>
      <c r="F37" s="317">
        <f t="shared" si="0"/>
        <v>17</v>
      </c>
      <c r="G37" s="317"/>
      <c r="H37" s="317"/>
    </row>
    <row r="38" spans="1:8" x14ac:dyDescent="0.2">
      <c r="A38" s="317">
        <v>18</v>
      </c>
      <c r="B38" s="317" t="s">
        <v>127</v>
      </c>
      <c r="C38" s="317" t="s">
        <v>128</v>
      </c>
      <c r="D38" s="317" t="s">
        <v>119</v>
      </c>
      <c r="E38" s="317">
        <v>1.06</v>
      </c>
      <c r="F38" s="317">
        <f t="shared" si="0"/>
        <v>18</v>
      </c>
      <c r="G38" s="317"/>
      <c r="H38" s="317"/>
    </row>
    <row r="39" spans="1:8" x14ac:dyDescent="0.2">
      <c r="A39" s="317">
        <v>19</v>
      </c>
      <c r="B39" s="317" t="s">
        <v>129</v>
      </c>
      <c r="C39" s="317" t="s">
        <v>130</v>
      </c>
      <c r="D39" s="317" t="s">
        <v>92</v>
      </c>
      <c r="E39" s="317">
        <v>0.92</v>
      </c>
      <c r="F39" s="317">
        <f t="shared" si="0"/>
        <v>19</v>
      </c>
      <c r="G39" s="317"/>
      <c r="H39" s="317"/>
    </row>
    <row r="40" spans="1:8" x14ac:dyDescent="0.2">
      <c r="A40" s="317">
        <v>20</v>
      </c>
      <c r="B40" s="317" t="s">
        <v>131</v>
      </c>
      <c r="C40" s="317" t="s">
        <v>132</v>
      </c>
      <c r="D40" s="317" t="s">
        <v>95</v>
      </c>
      <c r="E40" s="317">
        <v>0.88</v>
      </c>
      <c r="F40" s="317">
        <f t="shared" si="0"/>
        <v>20</v>
      </c>
      <c r="G40" s="317"/>
      <c r="H40" s="317"/>
    </row>
    <row r="41" spans="1:8" x14ac:dyDescent="0.2">
      <c r="A41" s="317">
        <v>21</v>
      </c>
      <c r="B41" s="317" t="s">
        <v>133</v>
      </c>
      <c r="C41" s="317" t="s">
        <v>134</v>
      </c>
      <c r="D41" s="317" t="s">
        <v>105</v>
      </c>
      <c r="E41" s="317">
        <v>1.1000000000000001</v>
      </c>
      <c r="F41" s="317">
        <f t="shared" si="0"/>
        <v>21</v>
      </c>
      <c r="G41" s="317"/>
      <c r="H41" s="317"/>
    </row>
    <row r="42" spans="1:8" x14ac:dyDescent="0.2">
      <c r="A42" s="317">
        <v>22</v>
      </c>
      <c r="B42" s="317" t="s">
        <v>135</v>
      </c>
      <c r="C42" s="317" t="s">
        <v>136</v>
      </c>
      <c r="D42" s="317" t="s">
        <v>108</v>
      </c>
      <c r="E42" s="317">
        <v>0.75</v>
      </c>
      <c r="F42" s="317">
        <f t="shared" si="0"/>
        <v>22</v>
      </c>
      <c r="G42" s="317"/>
      <c r="H42" s="317"/>
    </row>
    <row r="43" spans="1:8" x14ac:dyDescent="0.2">
      <c r="A43" s="317">
        <v>23</v>
      </c>
      <c r="B43" s="317" t="s">
        <v>137</v>
      </c>
      <c r="C43" s="317" t="s">
        <v>138</v>
      </c>
      <c r="D43" s="317" t="s">
        <v>105</v>
      </c>
      <c r="E43" s="317">
        <v>1.1000000000000001</v>
      </c>
      <c r="F43" s="317">
        <f t="shared" si="0"/>
        <v>23</v>
      </c>
      <c r="G43" s="317"/>
      <c r="H43" s="317"/>
    </row>
    <row r="44" spans="1:8" x14ac:dyDescent="0.2">
      <c r="A44" s="317">
        <v>24</v>
      </c>
      <c r="B44" s="317" t="s">
        <v>139</v>
      </c>
      <c r="C44" s="317" t="s">
        <v>140</v>
      </c>
      <c r="D44" s="317" t="s">
        <v>124</v>
      </c>
      <c r="E44" s="317">
        <v>1.03</v>
      </c>
      <c r="F44" s="317">
        <f t="shared" si="0"/>
        <v>24</v>
      </c>
      <c r="G44" s="317"/>
      <c r="H44" s="317"/>
    </row>
    <row r="45" spans="1:8" x14ac:dyDescent="0.2">
      <c r="A45" s="317">
        <v>25</v>
      </c>
      <c r="B45" s="317" t="s">
        <v>141</v>
      </c>
      <c r="C45" s="317" t="s">
        <v>142</v>
      </c>
      <c r="D45" s="317" t="s">
        <v>119</v>
      </c>
      <c r="E45" s="317">
        <v>1.06</v>
      </c>
      <c r="F45" s="317">
        <f t="shared" si="0"/>
        <v>25</v>
      </c>
      <c r="G45" s="317"/>
      <c r="H45" s="317"/>
    </row>
    <row r="46" spans="1:8" x14ac:dyDescent="0.2">
      <c r="A46" s="317">
        <v>26</v>
      </c>
      <c r="B46" s="317" t="s">
        <v>143</v>
      </c>
      <c r="C46" s="317" t="s">
        <v>144</v>
      </c>
      <c r="D46" s="317" t="s">
        <v>119</v>
      </c>
      <c r="E46" s="317">
        <v>1.06</v>
      </c>
      <c r="F46" s="317">
        <f t="shared" si="0"/>
        <v>26</v>
      </c>
      <c r="G46" s="317"/>
      <c r="H46" s="317"/>
    </row>
    <row r="47" spans="1:8" x14ac:dyDescent="0.2">
      <c r="A47" s="317">
        <v>27</v>
      </c>
      <c r="B47" s="317" t="s">
        <v>145</v>
      </c>
      <c r="C47" s="317" t="s">
        <v>146</v>
      </c>
      <c r="D47" s="317" t="s">
        <v>92</v>
      </c>
      <c r="E47" s="317">
        <v>0.92</v>
      </c>
      <c r="F47" s="317">
        <f t="shared" si="0"/>
        <v>27</v>
      </c>
      <c r="G47" s="317"/>
      <c r="H47" s="317"/>
    </row>
    <row r="48" spans="1:8" x14ac:dyDescent="0.2">
      <c r="A48" s="317">
        <v>28</v>
      </c>
      <c r="B48" s="317" t="s">
        <v>147</v>
      </c>
      <c r="C48" s="317" t="s">
        <v>148</v>
      </c>
      <c r="D48" s="317" t="s">
        <v>98</v>
      </c>
      <c r="E48" s="317">
        <v>0.82</v>
      </c>
      <c r="F48" s="317">
        <f t="shared" si="0"/>
        <v>28</v>
      </c>
      <c r="G48" s="317"/>
      <c r="H48" s="317"/>
    </row>
    <row r="49" spans="1:6" x14ac:dyDescent="0.2">
      <c r="A49" s="317">
        <v>29</v>
      </c>
      <c r="B49" s="317" t="s">
        <v>149</v>
      </c>
      <c r="C49" s="317" t="s">
        <v>150</v>
      </c>
      <c r="D49" s="317" t="s">
        <v>108</v>
      </c>
      <c r="E49" s="317">
        <v>0.75</v>
      </c>
      <c r="F49" s="317">
        <f t="shared" si="0"/>
        <v>29</v>
      </c>
    </row>
    <row r="50" spans="1:6" x14ac:dyDescent="0.2">
      <c r="A50" s="317">
        <v>30</v>
      </c>
      <c r="B50" s="317" t="s">
        <v>151</v>
      </c>
      <c r="C50" s="317" t="s">
        <v>152</v>
      </c>
      <c r="D50" s="317" t="s">
        <v>119</v>
      </c>
      <c r="E50" s="317">
        <v>1.06</v>
      </c>
      <c r="F50" s="317">
        <f t="shared" si="0"/>
        <v>30</v>
      </c>
    </row>
    <row r="51" spans="1:6" x14ac:dyDescent="0.2">
      <c r="A51" s="317">
        <v>31</v>
      </c>
      <c r="B51" s="317" t="s">
        <v>153</v>
      </c>
      <c r="C51" s="317" t="s">
        <v>154</v>
      </c>
      <c r="D51" s="317" t="s">
        <v>119</v>
      </c>
      <c r="E51" s="317">
        <v>1.06</v>
      </c>
      <c r="F51" s="317">
        <f t="shared" si="0"/>
        <v>31</v>
      </c>
    </row>
    <row r="52" spans="1:6" x14ac:dyDescent="0.2">
      <c r="A52" s="317">
        <v>32</v>
      </c>
      <c r="B52" s="317" t="s">
        <v>155</v>
      </c>
      <c r="C52" s="317" t="s">
        <v>156</v>
      </c>
      <c r="D52" s="317" t="s">
        <v>105</v>
      </c>
      <c r="E52" s="317">
        <v>1.1000000000000001</v>
      </c>
      <c r="F52" s="317">
        <f t="shared" si="0"/>
        <v>32</v>
      </c>
    </row>
    <row r="53" spans="1:6" x14ac:dyDescent="0.2">
      <c r="A53" s="317">
        <v>33</v>
      </c>
      <c r="B53" s="317" t="s">
        <v>157</v>
      </c>
      <c r="C53" s="317" t="s">
        <v>158</v>
      </c>
      <c r="D53" s="317" t="s">
        <v>159</v>
      </c>
      <c r="E53" s="317">
        <v>1.24</v>
      </c>
      <c r="F53" s="317">
        <f t="shared" si="0"/>
        <v>33</v>
      </c>
    </row>
    <row r="54" spans="1:6" x14ac:dyDescent="0.2">
      <c r="A54" s="317">
        <v>34</v>
      </c>
      <c r="B54" s="317" t="s">
        <v>160</v>
      </c>
      <c r="C54" s="317" t="s">
        <v>161</v>
      </c>
      <c r="D54" s="317" t="s">
        <v>98</v>
      </c>
      <c r="E54" s="317">
        <v>0.82</v>
      </c>
      <c r="F54" s="317">
        <f t="shared" si="0"/>
        <v>34</v>
      </c>
    </row>
    <row r="55" spans="1:6" x14ac:dyDescent="0.2">
      <c r="A55" s="317">
        <v>35</v>
      </c>
      <c r="B55" s="317" t="s">
        <v>162</v>
      </c>
      <c r="C55" s="317" t="s">
        <v>163</v>
      </c>
      <c r="D55" s="317" t="s">
        <v>98</v>
      </c>
      <c r="E55" s="317">
        <v>0.82</v>
      </c>
      <c r="F55" s="317">
        <f t="shared" si="0"/>
        <v>35</v>
      </c>
    </row>
    <row r="56" spans="1:6" x14ac:dyDescent="0.2">
      <c r="A56" s="317">
        <v>36</v>
      </c>
      <c r="B56" s="317" t="s">
        <v>164</v>
      </c>
      <c r="C56" s="317" t="s">
        <v>165</v>
      </c>
      <c r="D56" s="317" t="s">
        <v>159</v>
      </c>
      <c r="E56" s="317">
        <v>1.24</v>
      </c>
      <c r="F56" s="317">
        <f t="shared" si="0"/>
        <v>36</v>
      </c>
    </row>
    <row r="57" spans="1:6" x14ac:dyDescent="0.2">
      <c r="A57" s="317">
        <v>37</v>
      </c>
      <c r="B57" s="317" t="s">
        <v>166</v>
      </c>
      <c r="C57" s="317" t="s">
        <v>167</v>
      </c>
      <c r="D57" s="317" t="s">
        <v>124</v>
      </c>
      <c r="E57" s="317">
        <v>1.03</v>
      </c>
      <c r="F57" s="317">
        <f t="shared" si="0"/>
        <v>37</v>
      </c>
    </row>
    <row r="58" spans="1:6" x14ac:dyDescent="0.2">
      <c r="A58" s="317">
        <v>38</v>
      </c>
      <c r="B58" s="317" t="s">
        <v>168</v>
      </c>
      <c r="C58" s="317" t="s">
        <v>169</v>
      </c>
      <c r="D58" s="317" t="s">
        <v>95</v>
      </c>
      <c r="E58" s="317">
        <v>0.88</v>
      </c>
      <c r="F58" s="317">
        <f t="shared" si="0"/>
        <v>38</v>
      </c>
    </row>
    <row r="59" spans="1:6" x14ac:dyDescent="0.2">
      <c r="A59" s="317">
        <v>39</v>
      </c>
      <c r="B59" s="317" t="s">
        <v>170</v>
      </c>
      <c r="C59" s="317" t="s">
        <v>171</v>
      </c>
      <c r="D59" s="317" t="s">
        <v>89</v>
      </c>
      <c r="E59" s="317">
        <v>0.75</v>
      </c>
      <c r="F59" s="317">
        <f t="shared" si="0"/>
        <v>39</v>
      </c>
    </row>
    <row r="60" spans="1:6" x14ac:dyDescent="0.2">
      <c r="A60" s="317">
        <v>40</v>
      </c>
      <c r="B60" s="317" t="s">
        <v>172</v>
      </c>
      <c r="C60" s="317" t="s">
        <v>173</v>
      </c>
      <c r="D60" s="317" t="s">
        <v>159</v>
      </c>
      <c r="E60" s="317">
        <v>1.24</v>
      </c>
      <c r="F60" s="317">
        <f t="shared" si="0"/>
        <v>40</v>
      </c>
    </row>
    <row r="61" spans="1:6" x14ac:dyDescent="0.2">
      <c r="A61" s="317">
        <v>41</v>
      </c>
      <c r="B61" s="317" t="s">
        <v>174</v>
      </c>
      <c r="C61" s="317" t="s">
        <v>175</v>
      </c>
      <c r="D61" s="317" t="s">
        <v>105</v>
      </c>
      <c r="E61" s="317">
        <v>1.1000000000000001</v>
      </c>
      <c r="F61" s="317">
        <f t="shared" si="0"/>
        <v>41</v>
      </c>
    </row>
    <row r="62" spans="1:6" x14ac:dyDescent="0.2">
      <c r="A62" s="317">
        <v>42</v>
      </c>
      <c r="B62" s="317" t="s">
        <v>176</v>
      </c>
      <c r="C62" s="317" t="s">
        <v>177</v>
      </c>
      <c r="D62" s="317" t="s">
        <v>108</v>
      </c>
      <c r="E62" s="317">
        <v>0.75</v>
      </c>
      <c r="F62" s="317">
        <f t="shared" si="0"/>
        <v>42</v>
      </c>
    </row>
    <row r="63" spans="1:6" x14ac:dyDescent="0.2">
      <c r="A63" s="317">
        <v>43</v>
      </c>
      <c r="B63" s="317" t="s">
        <v>178</v>
      </c>
      <c r="C63" s="317" t="s">
        <v>179</v>
      </c>
      <c r="D63" s="317" t="s">
        <v>119</v>
      </c>
      <c r="E63" s="317">
        <v>1.06</v>
      </c>
      <c r="F63" s="317">
        <f t="shared" si="0"/>
        <v>43</v>
      </c>
    </row>
    <row r="64" spans="1:6" x14ac:dyDescent="0.2">
      <c r="A64" s="317">
        <v>44</v>
      </c>
      <c r="B64" s="317" t="s">
        <v>180</v>
      </c>
      <c r="C64" s="317" t="s">
        <v>181</v>
      </c>
      <c r="D64" s="317" t="s">
        <v>92</v>
      </c>
      <c r="E64" s="317">
        <v>0.92</v>
      </c>
      <c r="F64" s="317">
        <f t="shared" si="0"/>
        <v>44</v>
      </c>
    </row>
    <row r="65" spans="1:6" x14ac:dyDescent="0.2">
      <c r="A65" s="317">
        <v>45</v>
      </c>
      <c r="B65" s="317" t="s">
        <v>182</v>
      </c>
      <c r="C65" s="317" t="s">
        <v>183</v>
      </c>
      <c r="D65" s="317" t="s">
        <v>95</v>
      </c>
      <c r="E65" s="317">
        <v>0.88</v>
      </c>
      <c r="F65" s="317">
        <f t="shared" si="0"/>
        <v>45</v>
      </c>
    </row>
    <row r="66" spans="1:6" x14ac:dyDescent="0.2">
      <c r="A66" s="317">
        <v>46</v>
      </c>
      <c r="B66" s="317" t="s">
        <v>184</v>
      </c>
      <c r="C66" s="317" t="s">
        <v>185</v>
      </c>
      <c r="D66" s="317" t="s">
        <v>98</v>
      </c>
      <c r="E66" s="317">
        <v>0.82</v>
      </c>
      <c r="F66" s="317">
        <f t="shared" si="0"/>
        <v>46</v>
      </c>
    </row>
    <row r="67" spans="1:6" x14ac:dyDescent="0.2">
      <c r="A67" s="317">
        <v>47</v>
      </c>
      <c r="B67" s="317" t="s">
        <v>186</v>
      </c>
      <c r="C67" s="317" t="s">
        <v>187</v>
      </c>
      <c r="D67" s="317" t="s">
        <v>108</v>
      </c>
      <c r="E67" s="317">
        <v>0.75</v>
      </c>
      <c r="F67" s="317">
        <f t="shared" si="0"/>
        <v>47</v>
      </c>
    </row>
    <row r="68" spans="1:6" x14ac:dyDescent="0.2">
      <c r="A68" s="317">
        <v>48</v>
      </c>
      <c r="B68" s="317" t="s">
        <v>188</v>
      </c>
      <c r="C68" s="317" t="s">
        <v>189</v>
      </c>
      <c r="D68" s="317" t="s">
        <v>105</v>
      </c>
      <c r="E68" s="317">
        <v>1.1000000000000001</v>
      </c>
      <c r="F68" s="317">
        <f t="shared" si="0"/>
        <v>48</v>
      </c>
    </row>
    <row r="69" spans="1:6" x14ac:dyDescent="0.2">
      <c r="A69" s="317">
        <v>49</v>
      </c>
      <c r="B69" s="317" t="s">
        <v>190</v>
      </c>
      <c r="C69" s="317" t="s">
        <v>191</v>
      </c>
      <c r="D69" s="317" t="s">
        <v>89</v>
      </c>
      <c r="E69" s="317">
        <v>0.75</v>
      </c>
      <c r="F69" s="317">
        <f t="shared" si="0"/>
        <v>49</v>
      </c>
    </row>
    <row r="70" spans="1:6" x14ac:dyDescent="0.2">
      <c r="A70" s="317">
        <v>50</v>
      </c>
      <c r="B70" s="317" t="s">
        <v>192</v>
      </c>
      <c r="C70" s="317" t="s">
        <v>193</v>
      </c>
      <c r="D70" s="317" t="s">
        <v>124</v>
      </c>
      <c r="E70" s="317">
        <v>1.03</v>
      </c>
      <c r="F70" s="317">
        <f t="shared" si="0"/>
        <v>50</v>
      </c>
    </row>
    <row r="71" spans="1:6" x14ac:dyDescent="0.2">
      <c r="A71" s="317">
        <v>51</v>
      </c>
      <c r="B71" s="317" t="s">
        <v>194</v>
      </c>
      <c r="C71" s="317" t="s">
        <v>195</v>
      </c>
      <c r="D71" s="317" t="s">
        <v>108</v>
      </c>
      <c r="E71" s="317">
        <v>0.75</v>
      </c>
      <c r="F71" s="317">
        <f t="shared" si="0"/>
        <v>51</v>
      </c>
    </row>
    <row r="72" spans="1:6" x14ac:dyDescent="0.2">
      <c r="A72" s="317">
        <v>52</v>
      </c>
      <c r="B72" s="317" t="s">
        <v>196</v>
      </c>
      <c r="C72" s="317" t="s">
        <v>197</v>
      </c>
      <c r="D72" s="317" t="s">
        <v>98</v>
      </c>
      <c r="E72" s="317">
        <v>0.82</v>
      </c>
      <c r="F72" s="317">
        <f t="shared" si="0"/>
        <v>52</v>
      </c>
    </row>
    <row r="73" spans="1:6" x14ac:dyDescent="0.2">
      <c r="A73" s="317">
        <v>53</v>
      </c>
      <c r="B73" s="317" t="s">
        <v>198</v>
      </c>
      <c r="C73" s="317" t="s">
        <v>199</v>
      </c>
      <c r="D73" s="317" t="s">
        <v>124</v>
      </c>
      <c r="E73" s="317">
        <v>1.03</v>
      </c>
      <c r="F73" s="317">
        <f t="shared" si="0"/>
        <v>53</v>
      </c>
    </row>
    <row r="74" spans="1:6" x14ac:dyDescent="0.2">
      <c r="A74" s="317">
        <v>54</v>
      </c>
      <c r="B74" s="317" t="s">
        <v>200</v>
      </c>
      <c r="C74" s="317" t="s">
        <v>201</v>
      </c>
      <c r="D74" s="317" t="s">
        <v>124</v>
      </c>
      <c r="E74" s="317">
        <v>1.03</v>
      </c>
      <c r="F74" s="317">
        <f t="shared" si="0"/>
        <v>54</v>
      </c>
    </row>
    <row r="75" spans="1:6" x14ac:dyDescent="0.2">
      <c r="A75" s="317">
        <v>55</v>
      </c>
      <c r="B75" s="317" t="s">
        <v>202</v>
      </c>
      <c r="C75" s="317" t="s">
        <v>203</v>
      </c>
      <c r="D75" s="317" t="s">
        <v>124</v>
      </c>
      <c r="E75" s="317">
        <v>1.03</v>
      </c>
      <c r="F75" s="317">
        <f t="shared" si="0"/>
        <v>55</v>
      </c>
    </row>
    <row r="76" spans="1:6" x14ac:dyDescent="0.2">
      <c r="A76" s="317">
        <v>56</v>
      </c>
      <c r="B76" s="317" t="s">
        <v>204</v>
      </c>
      <c r="C76" s="317" t="s">
        <v>205</v>
      </c>
      <c r="D76" s="317" t="s">
        <v>124</v>
      </c>
      <c r="E76" s="317">
        <v>1.03</v>
      </c>
      <c r="F76" s="317">
        <f t="shared" si="0"/>
        <v>56</v>
      </c>
    </row>
    <row r="77" spans="1:6" x14ac:dyDescent="0.2">
      <c r="A77" s="317">
        <v>57</v>
      </c>
      <c r="B77" s="317" t="s">
        <v>206</v>
      </c>
      <c r="C77" s="317" t="s">
        <v>207</v>
      </c>
      <c r="D77" s="317" t="s">
        <v>124</v>
      </c>
      <c r="E77" s="317">
        <v>1.03</v>
      </c>
      <c r="F77" s="317">
        <f t="shared" si="0"/>
        <v>57</v>
      </c>
    </row>
    <row r="78" spans="1:6" x14ac:dyDescent="0.2">
      <c r="A78" s="317">
        <v>58</v>
      </c>
      <c r="B78" s="317" t="s">
        <v>208</v>
      </c>
      <c r="C78" s="317" t="s">
        <v>209</v>
      </c>
      <c r="D78" s="317" t="s">
        <v>124</v>
      </c>
      <c r="E78" s="317">
        <v>1.03</v>
      </c>
      <c r="F78" s="317">
        <f t="shared" si="0"/>
        <v>58</v>
      </c>
    </row>
    <row r="79" spans="1:6" x14ac:dyDescent="0.2">
      <c r="A79" s="317">
        <v>59</v>
      </c>
      <c r="B79" s="317" t="s">
        <v>210</v>
      </c>
      <c r="C79" s="317" t="s">
        <v>211</v>
      </c>
      <c r="D79" s="317" t="s">
        <v>124</v>
      </c>
      <c r="E79" s="317">
        <v>1.03</v>
      </c>
      <c r="F79" s="317">
        <f t="shared" si="0"/>
        <v>59</v>
      </c>
    </row>
    <row r="80" spans="1:6" x14ac:dyDescent="0.2">
      <c r="A80" s="317">
        <v>60</v>
      </c>
      <c r="B80" s="317" t="s">
        <v>212</v>
      </c>
      <c r="C80" s="317" t="s">
        <v>213</v>
      </c>
      <c r="D80" s="317" t="s">
        <v>124</v>
      </c>
      <c r="E80" s="317">
        <v>1.03</v>
      </c>
      <c r="F80" s="317">
        <f t="shared" si="0"/>
        <v>60</v>
      </c>
    </row>
    <row r="81" spans="1:13" x14ac:dyDescent="0.2">
      <c r="A81" s="317">
        <v>61</v>
      </c>
      <c r="B81" s="317" t="s">
        <v>214</v>
      </c>
      <c r="C81" s="317" t="s">
        <v>215</v>
      </c>
      <c r="D81" s="317" t="s">
        <v>124</v>
      </c>
      <c r="E81" s="317">
        <v>1.03</v>
      </c>
      <c r="F81" s="317">
        <f t="shared" si="0"/>
        <v>61</v>
      </c>
      <c r="G81" s="317"/>
      <c r="H81" s="317"/>
      <c r="I81" s="317"/>
      <c r="J81" s="317"/>
      <c r="K81" s="317"/>
      <c r="L81" s="317"/>
      <c r="M81" s="317"/>
    </row>
    <row r="82" spans="1:13" x14ac:dyDescent="0.2">
      <c r="A82" s="317">
        <v>62</v>
      </c>
      <c r="B82" s="317" t="s">
        <v>216</v>
      </c>
      <c r="C82" s="317" t="s">
        <v>217</v>
      </c>
      <c r="D82" s="317" t="s">
        <v>124</v>
      </c>
      <c r="E82" s="317">
        <v>1.03</v>
      </c>
      <c r="F82" s="317">
        <f t="shared" si="0"/>
        <v>62</v>
      </c>
      <c r="G82" s="317"/>
      <c r="H82" s="317"/>
      <c r="I82" s="317"/>
      <c r="J82" s="317"/>
      <c r="K82" s="317"/>
      <c r="L82" s="317"/>
      <c r="M82" s="317"/>
    </row>
    <row r="83" spans="1:13" x14ac:dyDescent="0.2">
      <c r="A83" s="317">
        <v>63</v>
      </c>
      <c r="B83" s="317" t="s">
        <v>218</v>
      </c>
      <c r="C83" s="317" t="s">
        <v>219</v>
      </c>
      <c r="D83" s="317" t="s">
        <v>124</v>
      </c>
      <c r="E83" s="317">
        <v>1.03</v>
      </c>
      <c r="F83" s="317">
        <f t="shared" si="0"/>
        <v>63</v>
      </c>
      <c r="G83" s="317"/>
      <c r="H83" s="317"/>
      <c r="I83" s="317"/>
      <c r="J83" s="317"/>
      <c r="K83" s="317"/>
      <c r="L83" s="317"/>
      <c r="M83" s="317"/>
    </row>
    <row r="86" spans="1:13" x14ac:dyDescent="0.2">
      <c r="A86" s="317" t="s">
        <v>220</v>
      </c>
      <c r="B86" s="5" t="s">
        <v>221</v>
      </c>
      <c r="C86" s="317"/>
      <c r="D86" s="317"/>
      <c r="E86" s="317"/>
      <c r="F86" s="317"/>
      <c r="G86" s="317"/>
      <c r="H86" s="5" t="s">
        <v>222</v>
      </c>
      <c r="I86" s="317"/>
      <c r="J86" s="317"/>
      <c r="K86" s="317"/>
      <c r="L86" s="5" t="s">
        <v>223</v>
      </c>
      <c r="M86" s="317"/>
    </row>
    <row r="87" spans="1:13" x14ac:dyDescent="0.2">
      <c r="A87" s="317">
        <v>1</v>
      </c>
      <c r="B87" s="317" t="s">
        <v>224</v>
      </c>
      <c r="C87"/>
      <c r="D87" s="317"/>
      <c r="E87" s="317"/>
      <c r="F87" s="317"/>
      <c r="G87" s="317">
        <v>1</v>
      </c>
      <c r="H87" s="317" t="s">
        <v>225</v>
      </c>
      <c r="I87" s="317">
        <v>0.78</v>
      </c>
      <c r="J87" s="317"/>
      <c r="K87" s="317">
        <v>1</v>
      </c>
      <c r="L87" s="317" t="s">
        <v>61</v>
      </c>
      <c r="M87" s="428">
        <v>0.8</v>
      </c>
    </row>
    <row r="88" spans="1:13" x14ac:dyDescent="0.2">
      <c r="A88" s="317">
        <v>2</v>
      </c>
      <c r="B88" s="317" t="s">
        <v>226</v>
      </c>
      <c r="C88" s="317"/>
      <c r="D88" s="41" t="s">
        <v>227</v>
      </c>
      <c r="E88" s="317"/>
      <c r="F88" s="317"/>
      <c r="G88" s="317">
        <v>2</v>
      </c>
      <c r="H88" s="317" t="s">
        <v>228</v>
      </c>
      <c r="I88" s="317">
        <v>0.83</v>
      </c>
      <c r="J88" s="317"/>
      <c r="K88" s="317">
        <v>2</v>
      </c>
      <c r="L88" s="317" t="s">
        <v>63</v>
      </c>
      <c r="M88" s="428">
        <v>0.92</v>
      </c>
    </row>
    <row r="89" spans="1:13" x14ac:dyDescent="0.2">
      <c r="A89" s="317">
        <v>3</v>
      </c>
      <c r="B89" s="317" t="s">
        <v>229</v>
      </c>
      <c r="C89" s="317"/>
      <c r="D89" s="317"/>
      <c r="E89" s="317"/>
      <c r="F89" s="317"/>
      <c r="G89" s="317">
        <v>3</v>
      </c>
      <c r="H89" s="317" t="s">
        <v>230</v>
      </c>
      <c r="I89" s="317">
        <v>0.85</v>
      </c>
      <c r="J89" s="317"/>
      <c r="K89" s="317">
        <v>3</v>
      </c>
      <c r="L89" s="317" t="s">
        <v>66</v>
      </c>
      <c r="M89" s="428">
        <v>0.97</v>
      </c>
    </row>
    <row r="90" spans="1:13" x14ac:dyDescent="0.2">
      <c r="A90" s="317">
        <v>4</v>
      </c>
      <c r="B90" s="317" t="s">
        <v>231</v>
      </c>
      <c r="C90" s="317"/>
      <c r="D90" s="41" t="s">
        <v>232</v>
      </c>
      <c r="E90" s="41" t="s">
        <v>233</v>
      </c>
      <c r="F90" s="41" t="s">
        <v>234</v>
      </c>
      <c r="G90" s="317">
        <v>4</v>
      </c>
      <c r="H90" s="317" t="s">
        <v>235</v>
      </c>
      <c r="I90" s="317">
        <v>0.84</v>
      </c>
      <c r="J90" s="317"/>
      <c r="K90" s="317">
        <v>4</v>
      </c>
      <c r="L90" s="317" t="s">
        <v>68</v>
      </c>
      <c r="M90" s="428">
        <v>0.82</v>
      </c>
    </row>
    <row r="91" spans="1:13" x14ac:dyDescent="0.2">
      <c r="A91" s="317"/>
      <c r="B91"/>
      <c r="C91"/>
      <c r="D91" s="317"/>
      <c r="E91" s="317"/>
      <c r="F91" s="317"/>
      <c r="G91" s="317">
        <v>5</v>
      </c>
      <c r="H91" s="317" t="s">
        <v>236</v>
      </c>
      <c r="I91" s="317">
        <v>0.92800000000000005</v>
      </c>
      <c r="J91" s="317"/>
      <c r="K91" s="317">
        <v>5</v>
      </c>
      <c r="L91" s="317" t="s">
        <v>69</v>
      </c>
      <c r="M91" s="428">
        <v>0.92</v>
      </c>
    </row>
    <row r="92" spans="1:13" x14ac:dyDescent="0.2">
      <c r="A92" s="317"/>
      <c r="B92" s="317"/>
      <c r="C92" s="317"/>
      <c r="D92" s="317"/>
      <c r="E92" s="317"/>
      <c r="F92" s="317"/>
      <c r="G92" s="317"/>
      <c r="H92" s="317"/>
      <c r="I92" s="317"/>
      <c r="J92" s="317"/>
      <c r="K92" s="317">
        <v>6</v>
      </c>
      <c r="L92" s="317" t="s">
        <v>71</v>
      </c>
      <c r="M92" s="428">
        <v>0.96</v>
      </c>
    </row>
    <row r="93" spans="1:13" x14ac:dyDescent="0.2">
      <c r="A93" s="317" t="s">
        <v>237</v>
      </c>
      <c r="B93" s="429" t="s">
        <v>238</v>
      </c>
      <c r="C93" s="371" t="s">
        <v>239</v>
      </c>
      <c r="D93" s="317"/>
      <c r="E93" s="317"/>
      <c r="F93" s="317"/>
      <c r="G93" s="317"/>
      <c r="H93" s="317"/>
      <c r="I93" s="317"/>
      <c r="J93" s="317"/>
      <c r="K93" s="317">
        <v>7</v>
      </c>
      <c r="L93" s="317" t="s">
        <v>73</v>
      </c>
      <c r="M93" s="368">
        <v>1.4</v>
      </c>
    </row>
    <row r="94" spans="1:13" x14ac:dyDescent="0.2">
      <c r="A94" s="317">
        <v>1</v>
      </c>
      <c r="B94" s="371" t="s">
        <v>240</v>
      </c>
      <c r="C94" s="371">
        <v>0.57999999999999996</v>
      </c>
      <c r="D94" s="317"/>
      <c r="E94" s="317"/>
      <c r="F94" s="317"/>
      <c r="G94" s="317"/>
      <c r="H94" s="317"/>
      <c r="I94" s="317"/>
      <c r="J94" s="317"/>
      <c r="K94" s="317"/>
      <c r="L94" s="317"/>
      <c r="M94" s="317"/>
    </row>
    <row r="95" spans="1:13" x14ac:dyDescent="0.2">
      <c r="A95" s="317">
        <v>2</v>
      </c>
      <c r="B95" s="371" t="s">
        <v>241</v>
      </c>
      <c r="C95" s="371">
        <v>0.68</v>
      </c>
      <c r="D95" s="317"/>
      <c r="E95" s="40" t="s">
        <v>242</v>
      </c>
      <c r="F95" s="317"/>
      <c r="G95" s="317" t="s">
        <v>74</v>
      </c>
      <c r="H95" s="5" t="s">
        <v>243</v>
      </c>
      <c r="I95" s="317" t="s">
        <v>239</v>
      </c>
      <c r="J95" s="317"/>
      <c r="K95" s="317"/>
      <c r="L95" s="429" t="s">
        <v>244</v>
      </c>
      <c r="M95" s="371" t="s">
        <v>239</v>
      </c>
    </row>
    <row r="96" spans="1:13" x14ac:dyDescent="0.2">
      <c r="A96" s="317">
        <v>3</v>
      </c>
      <c r="B96" s="371" t="s">
        <v>245</v>
      </c>
      <c r="C96" s="371">
        <v>0.7</v>
      </c>
      <c r="D96" s="317"/>
      <c r="E96" s="40" t="s">
        <v>246</v>
      </c>
      <c r="F96" s="317"/>
      <c r="G96" s="317">
        <v>1</v>
      </c>
      <c r="H96" s="317" t="s">
        <v>247</v>
      </c>
      <c r="I96" s="317">
        <v>0.54</v>
      </c>
      <c r="J96" s="317"/>
      <c r="K96" s="317">
        <v>1</v>
      </c>
      <c r="L96" s="371" t="s">
        <v>240</v>
      </c>
      <c r="M96" s="371">
        <v>0.57999999999999996</v>
      </c>
    </row>
    <row r="97" spans="1:13" x14ac:dyDescent="0.2">
      <c r="A97" s="317">
        <v>4</v>
      </c>
      <c r="B97" s="371" t="s">
        <v>248</v>
      </c>
      <c r="C97" s="371">
        <v>0.6</v>
      </c>
      <c r="D97" s="317"/>
      <c r="E97" s="40" t="s">
        <v>249</v>
      </c>
      <c r="F97" s="317"/>
      <c r="G97" s="317">
        <v>2</v>
      </c>
      <c r="H97" s="317" t="s">
        <v>250</v>
      </c>
      <c r="I97" s="317">
        <v>0.64</v>
      </c>
      <c r="J97" s="317"/>
      <c r="K97" s="317">
        <v>2</v>
      </c>
      <c r="L97" s="371" t="s">
        <v>241</v>
      </c>
      <c r="M97" s="371">
        <v>0.68</v>
      </c>
    </row>
    <row r="98" spans="1:13" x14ac:dyDescent="0.2">
      <c r="A98" s="317">
        <v>5</v>
      </c>
      <c r="B98" s="371" t="s">
        <v>251</v>
      </c>
      <c r="C98" s="371">
        <v>0.9</v>
      </c>
      <c r="D98" s="317"/>
      <c r="E98" s="40" t="s">
        <v>252</v>
      </c>
      <c r="F98" s="317"/>
      <c r="G98" s="317" t="s">
        <v>74</v>
      </c>
      <c r="H98" s="317"/>
      <c r="I98" s="317"/>
      <c r="J98" s="317"/>
      <c r="K98" s="317">
        <v>3</v>
      </c>
      <c r="L98" s="371" t="s">
        <v>245</v>
      </c>
      <c r="M98" s="371">
        <v>0.7</v>
      </c>
    </row>
    <row r="99" spans="1:13" x14ac:dyDescent="0.2">
      <c r="A99" s="317">
        <v>6</v>
      </c>
      <c r="B99" s="371" t="s">
        <v>253</v>
      </c>
      <c r="C99" s="371">
        <v>0.81</v>
      </c>
      <c r="D99" s="317"/>
      <c r="E99" s="40" t="s">
        <v>254</v>
      </c>
      <c r="F99" s="317"/>
      <c r="G99" s="317" t="s">
        <v>74</v>
      </c>
      <c r="H99" s="317"/>
      <c r="I99" s="317"/>
      <c r="J99" s="317"/>
      <c r="K99" s="317">
        <v>4</v>
      </c>
      <c r="L99" s="371" t="s">
        <v>248</v>
      </c>
      <c r="M99" s="371">
        <v>0.6</v>
      </c>
    </row>
    <row r="100" spans="1:13" x14ac:dyDescent="0.2">
      <c r="A100" s="317">
        <v>7</v>
      </c>
      <c r="B100" s="371" t="s">
        <v>255</v>
      </c>
      <c r="C100" s="371">
        <v>0.95</v>
      </c>
      <c r="D100" s="317"/>
      <c r="E100" s="40" t="s">
        <v>256</v>
      </c>
      <c r="F100" s="317"/>
      <c r="G100" s="317" t="s">
        <v>74</v>
      </c>
      <c r="H100" s="317"/>
      <c r="I100" s="317"/>
      <c r="J100" s="317"/>
      <c r="K100" s="317">
        <v>5</v>
      </c>
      <c r="L100" s="371" t="s">
        <v>251</v>
      </c>
      <c r="M100" s="371">
        <v>0.9</v>
      </c>
    </row>
    <row r="101" spans="1:13" x14ac:dyDescent="0.2">
      <c r="A101" s="317">
        <v>8</v>
      </c>
      <c r="B101" s="371" t="s">
        <v>257</v>
      </c>
      <c r="C101" s="371">
        <v>1.4</v>
      </c>
      <c r="D101" s="317"/>
      <c r="E101" s="317"/>
      <c r="F101" s="317"/>
      <c r="G101" s="317"/>
      <c r="H101" s="317"/>
      <c r="I101" s="317"/>
      <c r="J101" s="317"/>
      <c r="K101" s="317">
        <v>6</v>
      </c>
      <c r="L101" s="371" t="s">
        <v>253</v>
      </c>
      <c r="M101" s="371">
        <v>0.81</v>
      </c>
    </row>
    <row r="102" spans="1:13" x14ac:dyDescent="0.2">
      <c r="A102" s="317"/>
      <c r="B102" s="317"/>
      <c r="C102" s="317"/>
      <c r="D102" s="317"/>
      <c r="E102" s="317"/>
      <c r="F102" s="317"/>
      <c r="G102" s="317"/>
      <c r="H102" s="317"/>
      <c r="I102" s="317"/>
      <c r="J102" s="317"/>
      <c r="K102" s="317">
        <v>7</v>
      </c>
      <c r="L102" s="371" t="s">
        <v>255</v>
      </c>
      <c r="M102" s="371">
        <v>0.95</v>
      </c>
    </row>
    <row r="103" spans="1:13" x14ac:dyDescent="0.2">
      <c r="A103" s="317" t="s">
        <v>258</v>
      </c>
      <c r="B103" s="429" t="s">
        <v>259</v>
      </c>
      <c r="C103" s="371" t="s">
        <v>239</v>
      </c>
      <c r="D103" s="317"/>
      <c r="E103" s="317"/>
      <c r="F103" s="317"/>
      <c r="G103" s="317"/>
      <c r="H103" s="317"/>
      <c r="I103" s="317"/>
      <c r="J103" s="317"/>
      <c r="K103" s="317">
        <v>8</v>
      </c>
      <c r="L103" s="317" t="s">
        <v>257</v>
      </c>
      <c r="M103" s="317">
        <v>1.4</v>
      </c>
    </row>
    <row r="104" spans="1:13" x14ac:dyDescent="0.2">
      <c r="A104" s="317">
        <v>1</v>
      </c>
      <c r="B104" s="371" t="s">
        <v>260</v>
      </c>
      <c r="C104" s="371">
        <v>0.92</v>
      </c>
      <c r="D104" s="317"/>
      <c r="E104" s="40" t="s">
        <v>261</v>
      </c>
      <c r="F104" s="317"/>
      <c r="G104" s="317"/>
      <c r="H104" s="317" t="s">
        <v>74</v>
      </c>
      <c r="I104" s="317"/>
      <c r="J104" s="317"/>
      <c r="K104" s="317"/>
      <c r="L104" s="317"/>
      <c r="M104" s="317"/>
    </row>
    <row r="105" spans="1:13" x14ac:dyDescent="0.2">
      <c r="A105" s="317">
        <v>2</v>
      </c>
      <c r="B105" s="371" t="s">
        <v>262</v>
      </c>
      <c r="C105" s="371">
        <v>0.93</v>
      </c>
      <c r="D105" s="317"/>
      <c r="E105" s="40" t="s">
        <v>263</v>
      </c>
      <c r="F105" s="317"/>
      <c r="G105" s="317"/>
      <c r="H105" s="317" t="s">
        <v>74</v>
      </c>
      <c r="I105" s="317"/>
      <c r="J105" s="317"/>
      <c r="K105" s="317"/>
      <c r="L105" s="317"/>
      <c r="M105" s="317"/>
    </row>
    <row r="106" spans="1:13" x14ac:dyDescent="0.2">
      <c r="A106" s="317">
        <v>3</v>
      </c>
      <c r="B106" s="371" t="s">
        <v>264</v>
      </c>
      <c r="C106" s="371">
        <v>0.91</v>
      </c>
      <c r="D106" s="317"/>
      <c r="E106" s="40" t="s">
        <v>265</v>
      </c>
      <c r="F106" s="317"/>
      <c r="G106" s="317"/>
      <c r="H106" s="317" t="s">
        <v>74</v>
      </c>
      <c r="I106" s="317"/>
      <c r="J106" s="317"/>
      <c r="K106" s="317"/>
      <c r="L106" s="317"/>
      <c r="M106" s="317"/>
    </row>
    <row r="107" spans="1:13" x14ac:dyDescent="0.2">
      <c r="A107" s="317">
        <v>4</v>
      </c>
      <c r="B107" s="371" t="s">
        <v>266</v>
      </c>
      <c r="C107" s="371">
        <v>3</v>
      </c>
      <c r="D107" s="317"/>
      <c r="E107" s="40" t="s">
        <v>267</v>
      </c>
      <c r="F107" s="317"/>
      <c r="G107" s="317"/>
      <c r="H107" s="317" t="s">
        <v>74</v>
      </c>
      <c r="I107" s="317"/>
      <c r="J107" s="317"/>
      <c r="K107" s="317"/>
      <c r="L107" s="317"/>
      <c r="M107" s="317"/>
    </row>
    <row r="109" spans="1:13" x14ac:dyDescent="0.2">
      <c r="A109" s="317" t="s">
        <v>268</v>
      </c>
      <c r="B109" s="5" t="s">
        <v>269</v>
      </c>
      <c r="C109" s="317"/>
      <c r="D109" s="317"/>
      <c r="E109" s="317"/>
      <c r="F109" s="317"/>
      <c r="G109" s="317"/>
      <c r="H109" s="317"/>
      <c r="I109" s="317"/>
      <c r="J109" s="317"/>
      <c r="K109" s="317"/>
      <c r="L109" s="317"/>
      <c r="M109" s="317"/>
    </row>
    <row r="110" spans="1:13" x14ac:dyDescent="0.2">
      <c r="A110" s="317">
        <v>1</v>
      </c>
      <c r="B110" s="317" t="s">
        <v>270</v>
      </c>
      <c r="C110" s="317"/>
      <c r="D110" s="317"/>
      <c r="E110" s="317"/>
      <c r="F110" s="317"/>
      <c r="G110" s="317"/>
      <c r="H110" s="317"/>
      <c r="I110" s="317"/>
      <c r="J110" s="317"/>
      <c r="K110" s="317"/>
      <c r="L110" s="317"/>
      <c r="M110" s="317"/>
    </row>
    <row r="112" spans="1:13" x14ac:dyDescent="0.2">
      <c r="A112" s="317" t="s">
        <v>271</v>
      </c>
      <c r="B112" s="5" t="s">
        <v>272</v>
      </c>
      <c r="C112" s="317"/>
      <c r="D112" s="317"/>
      <c r="E112" s="317"/>
      <c r="F112" s="317"/>
      <c r="G112" s="317"/>
      <c r="H112" s="317"/>
      <c r="I112" s="317"/>
      <c r="J112" s="317"/>
      <c r="K112" s="317"/>
      <c r="L112" s="317"/>
      <c r="M112" s="317"/>
    </row>
    <row r="113" spans="1:20" x14ac:dyDescent="0.2">
      <c r="A113" s="317">
        <v>1</v>
      </c>
      <c r="B113" s="317" t="s">
        <v>273</v>
      </c>
      <c r="C113" s="317"/>
      <c r="D113" s="317"/>
      <c r="E113" s="317"/>
      <c r="F113" s="317"/>
      <c r="G113" s="317"/>
      <c r="H113" s="317"/>
      <c r="I113" s="317"/>
      <c r="J113" s="317"/>
      <c r="K113" s="317"/>
      <c r="L113" s="317"/>
      <c r="M113" s="317"/>
      <c r="N113" s="317"/>
      <c r="O113" s="317"/>
      <c r="P113" s="317"/>
      <c r="Q113" s="317"/>
      <c r="R113" s="317"/>
      <c r="S113" s="317"/>
      <c r="T113" s="317"/>
    </row>
    <row r="115" spans="1:20" x14ac:dyDescent="0.2">
      <c r="A115" s="317">
        <v>1</v>
      </c>
      <c r="B115" s="317" t="s">
        <v>274</v>
      </c>
      <c r="C115" s="317">
        <v>1</v>
      </c>
      <c r="D115" s="317" t="s">
        <v>275</v>
      </c>
      <c r="E115" s="317"/>
      <c r="F115" s="317">
        <v>1</v>
      </c>
      <c r="G115" s="317" t="s">
        <v>276</v>
      </c>
      <c r="H115" s="317">
        <v>1</v>
      </c>
      <c r="I115" s="317" t="s">
        <v>277</v>
      </c>
      <c r="J115" s="317"/>
      <c r="K115" s="317"/>
      <c r="L115" s="317"/>
      <c r="M115" s="317"/>
      <c r="N115" s="317"/>
      <c r="O115" s="317"/>
      <c r="P115" s="317"/>
      <c r="Q115" s="317"/>
      <c r="R115" s="317"/>
      <c r="S115" s="317"/>
      <c r="T115" s="317"/>
    </row>
    <row r="116" spans="1:20" x14ac:dyDescent="0.2">
      <c r="A116" s="317">
        <v>2</v>
      </c>
      <c r="B116" s="317" t="s">
        <v>278</v>
      </c>
      <c r="C116" s="317">
        <v>2</v>
      </c>
      <c r="D116" s="317" t="s">
        <v>279</v>
      </c>
      <c r="E116" s="317"/>
      <c r="F116" s="317">
        <v>2</v>
      </c>
      <c r="G116" s="317" t="s">
        <v>280</v>
      </c>
      <c r="H116" s="317">
        <v>2</v>
      </c>
      <c r="I116" s="317" t="s">
        <v>281</v>
      </c>
      <c r="J116" s="317"/>
      <c r="K116" s="317"/>
      <c r="L116" s="317"/>
      <c r="M116" s="317"/>
      <c r="N116" s="317"/>
      <c r="O116" s="317"/>
      <c r="P116" s="317"/>
      <c r="Q116" s="317"/>
      <c r="R116" s="317"/>
      <c r="S116" s="317"/>
      <c r="T116" s="317"/>
    </row>
    <row r="117" spans="1:20" x14ac:dyDescent="0.2">
      <c r="A117" s="317"/>
      <c r="B117" s="317"/>
      <c r="C117" s="317"/>
      <c r="D117" s="317"/>
      <c r="E117" s="317"/>
      <c r="F117" s="317"/>
      <c r="G117" s="317"/>
      <c r="H117" s="317"/>
      <c r="I117" s="317"/>
      <c r="J117" s="317"/>
      <c r="K117" s="317"/>
      <c r="L117" s="317"/>
      <c r="M117" s="317"/>
      <c r="N117" s="317"/>
      <c r="O117" s="317"/>
      <c r="P117" s="317"/>
      <c r="Q117" s="317"/>
      <c r="R117" s="317"/>
      <c r="S117" s="317"/>
      <c r="T117" s="317"/>
    </row>
    <row r="118" spans="1:20" s="15" customFormat="1" ht="38.25" x14ac:dyDescent="0.2">
      <c r="A118" s="374"/>
      <c r="B118" s="7" t="s">
        <v>82</v>
      </c>
      <c r="C118" s="7"/>
      <c r="D118" s="7" t="s">
        <v>282</v>
      </c>
      <c r="E118" s="16" t="s">
        <v>283</v>
      </c>
      <c r="F118" s="16" t="s">
        <v>284</v>
      </c>
      <c r="G118" s="374"/>
      <c r="H118" s="374"/>
      <c r="I118" s="562" t="s">
        <v>285</v>
      </c>
      <c r="J118" s="562"/>
      <c r="K118" s="374"/>
      <c r="L118" s="374"/>
      <c r="M118" s="374"/>
      <c r="N118" s="374"/>
      <c r="O118" s="374"/>
      <c r="P118" s="374"/>
      <c r="Q118" s="374"/>
      <c r="R118" s="374"/>
      <c r="S118" s="374"/>
      <c r="T118" s="374"/>
    </row>
    <row r="119" spans="1:20" x14ac:dyDescent="0.2">
      <c r="A119" s="317">
        <v>1</v>
      </c>
      <c r="B119" s="12" t="s">
        <v>88</v>
      </c>
      <c r="C119" s="12">
        <f>IF(B119=activestate,IF(B119=activestate,C118+1,1),0)</f>
        <v>0</v>
      </c>
      <c r="D119" s="12" t="s">
        <v>286</v>
      </c>
      <c r="E119" s="13">
        <v>89.101272000000009</v>
      </c>
      <c r="F119" s="373">
        <v>-10</v>
      </c>
      <c r="G119" s="317">
        <v>1</v>
      </c>
      <c r="H119" s="317" t="str">
        <f>IF(ISERROR(VLOOKUP(1,$C119:$D$346,2,0)),"",VLOOKUP(1,$C119:$D$346,2,0))</f>
        <v/>
      </c>
      <c r="I119" s="317" t="s">
        <v>287</v>
      </c>
      <c r="J119" s="317" t="s">
        <v>288</v>
      </c>
      <c r="K119" s="317"/>
      <c r="L119" s="317"/>
      <c r="M119" s="317"/>
      <c r="N119" s="317"/>
      <c r="O119" s="317"/>
      <c r="P119" s="317"/>
      <c r="Q119" s="317"/>
      <c r="R119" s="317"/>
      <c r="S119" s="317"/>
      <c r="T119" s="317"/>
    </row>
    <row r="120" spans="1:20" ht="15" x14ac:dyDescent="0.25">
      <c r="A120" s="317">
        <v>2</v>
      </c>
      <c r="B120" s="12" t="s">
        <v>88</v>
      </c>
      <c r="C120" s="12">
        <f t="shared" ref="C120:C182" si="1">IF(B120=activestate,IF(B120=activestate,C119+1,1),0)</f>
        <v>0</v>
      </c>
      <c r="D120" s="12" t="s">
        <v>289</v>
      </c>
      <c r="E120" s="13">
        <v>52.489176</v>
      </c>
      <c r="F120" s="14">
        <v>17</v>
      </c>
      <c r="G120" s="317">
        <v>2</v>
      </c>
      <c r="H120" s="317" t="str">
        <f>IF(ISERROR(VLOOKUP(2,$C120:$D$346,2,0)),"",VLOOKUP(2,$C120:$D$346,2,0))</f>
        <v/>
      </c>
      <c r="I120" s="317" t="s">
        <v>290</v>
      </c>
      <c r="J120" s="317" t="s">
        <v>291</v>
      </c>
      <c r="K120" s="317"/>
      <c r="L120" s="317"/>
      <c r="M120" s="317"/>
      <c r="N120" s="317"/>
      <c r="O120" s="317"/>
      <c r="P120" s="317"/>
      <c r="Q120" s="317"/>
      <c r="R120" s="317"/>
      <c r="S120" s="317"/>
      <c r="T120" s="317"/>
    </row>
    <row r="121" spans="1:20" ht="15" x14ac:dyDescent="0.25">
      <c r="A121" s="317">
        <v>3</v>
      </c>
      <c r="B121" s="12" t="s">
        <v>88</v>
      </c>
      <c r="C121" s="12">
        <f t="shared" si="1"/>
        <v>0</v>
      </c>
      <c r="D121" s="12" t="s">
        <v>292</v>
      </c>
      <c r="E121" s="13">
        <v>130.026096</v>
      </c>
      <c r="F121" s="14">
        <v>-24</v>
      </c>
      <c r="G121" s="317">
        <v>3</v>
      </c>
      <c r="H121" s="317" t="str">
        <f>IF(ISERROR(VLOOKUP(3,$C121:$D$346,2,0)),"",VLOOKUP(3,$C121:$D$346,2,0))</f>
        <v/>
      </c>
      <c r="I121" s="317" t="s">
        <v>290</v>
      </c>
      <c r="J121" s="317" t="s">
        <v>291</v>
      </c>
      <c r="K121" s="317"/>
      <c r="L121" s="317"/>
      <c r="M121" s="317"/>
      <c r="N121" s="317"/>
      <c r="O121" s="317"/>
      <c r="P121" s="317"/>
      <c r="Q121" s="317"/>
      <c r="R121" s="317"/>
      <c r="S121" s="317"/>
      <c r="T121" s="317"/>
    </row>
    <row r="122" spans="1:20" ht="15" x14ac:dyDescent="0.25">
      <c r="A122" s="317">
        <v>4</v>
      </c>
      <c r="B122" s="12" t="s">
        <v>88</v>
      </c>
      <c r="C122" s="12">
        <f t="shared" si="1"/>
        <v>0</v>
      </c>
      <c r="D122" s="12" t="s">
        <v>293</v>
      </c>
      <c r="E122" s="13">
        <v>130.79267999999999</v>
      </c>
      <c r="F122" s="14">
        <v>-39</v>
      </c>
      <c r="G122" s="317">
        <v>4</v>
      </c>
      <c r="H122" s="317" t="str">
        <f>IF(ISERROR(VLOOKUP(4,$C122:$D$346,2,0)),"",VLOOKUP(4,$C122:$D$346,2,0))</f>
        <v/>
      </c>
      <c r="I122" s="317" t="s">
        <v>290</v>
      </c>
      <c r="J122" s="317" t="s">
        <v>291</v>
      </c>
      <c r="K122" s="317"/>
      <c r="L122" s="317"/>
      <c r="M122" s="317"/>
      <c r="N122" s="317"/>
      <c r="O122" s="317"/>
      <c r="P122" s="317"/>
      <c r="Q122" s="317"/>
      <c r="R122" s="317"/>
      <c r="S122" s="317"/>
      <c r="T122" s="317"/>
    </row>
    <row r="123" spans="1:20" ht="15" x14ac:dyDescent="0.25">
      <c r="A123" s="317">
        <v>5</v>
      </c>
      <c r="B123" s="12" t="s">
        <v>88</v>
      </c>
      <c r="C123" s="12">
        <f t="shared" si="1"/>
        <v>0</v>
      </c>
      <c r="D123" s="12" t="s">
        <v>294</v>
      </c>
      <c r="E123" s="13">
        <v>90.597239999999999</v>
      </c>
      <c r="F123" s="14">
        <v>10</v>
      </c>
      <c r="G123" s="317">
        <v>5</v>
      </c>
      <c r="H123" s="317" t="str">
        <f>IF(ISERROR(VLOOKUP(5,$C123:$D$346,2,0)),"",VLOOKUP(5,$C123:$D$346,2,0))</f>
        <v/>
      </c>
      <c r="I123" s="317" t="s">
        <v>290</v>
      </c>
      <c r="J123" s="317" t="s">
        <v>291</v>
      </c>
      <c r="K123" s="317"/>
      <c r="L123" s="317"/>
      <c r="M123" s="317"/>
      <c r="N123" s="317"/>
      <c r="O123" s="317"/>
      <c r="P123" s="317"/>
      <c r="Q123" s="317"/>
      <c r="R123" s="317"/>
      <c r="S123" s="317"/>
      <c r="T123" s="317"/>
    </row>
    <row r="124" spans="1:20" x14ac:dyDescent="0.2">
      <c r="A124" s="317">
        <v>6</v>
      </c>
      <c r="B124" s="12" t="s">
        <v>88</v>
      </c>
      <c r="C124" s="12">
        <f t="shared" si="1"/>
        <v>0</v>
      </c>
      <c r="D124" s="12" t="s">
        <v>295</v>
      </c>
      <c r="E124" s="13">
        <v>138.521424</v>
      </c>
      <c r="F124" s="373">
        <v>-36</v>
      </c>
      <c r="G124" s="317">
        <v>6</v>
      </c>
      <c r="H124" s="317" t="str">
        <f>IF(ISERROR(VLOOKUP(6,$C124:$D$346,2,0)),"",VLOOKUP(6,$C124:$D$346,2,0))</f>
        <v/>
      </c>
      <c r="I124" s="317" t="s">
        <v>287</v>
      </c>
      <c r="J124" s="317" t="s">
        <v>288</v>
      </c>
      <c r="K124" s="317"/>
      <c r="L124" s="317"/>
      <c r="M124" s="317"/>
      <c r="N124" s="317"/>
      <c r="O124" s="317"/>
      <c r="P124" s="317"/>
      <c r="Q124" s="317"/>
      <c r="R124" s="317"/>
      <c r="S124" s="317"/>
      <c r="T124" s="317"/>
    </row>
    <row r="125" spans="1:20" ht="15" x14ac:dyDescent="0.25">
      <c r="A125" s="317">
        <v>7</v>
      </c>
      <c r="B125" s="12" t="s">
        <v>88</v>
      </c>
      <c r="C125" s="12">
        <f t="shared" si="1"/>
        <v>0</v>
      </c>
      <c r="D125" s="12" t="s">
        <v>296</v>
      </c>
      <c r="E125" s="13">
        <v>125.008488</v>
      </c>
      <c r="F125" s="14">
        <v>-39</v>
      </c>
      <c r="G125" s="317">
        <v>7</v>
      </c>
      <c r="H125" s="317" t="str">
        <f>IF(ISERROR(VLOOKUP(7,$C125:$D$346,2,0)),"",VLOOKUP(7,$C125:$D$346,2,0))</f>
        <v/>
      </c>
      <c r="I125" s="317" t="s">
        <v>287</v>
      </c>
      <c r="J125" s="317" t="s">
        <v>288</v>
      </c>
      <c r="K125" s="317"/>
      <c r="L125" s="317"/>
      <c r="M125" s="317"/>
      <c r="N125" s="317"/>
      <c r="O125" s="317"/>
      <c r="P125" s="317"/>
      <c r="Q125" s="317"/>
      <c r="R125" s="317"/>
      <c r="S125" s="317"/>
      <c r="T125" s="317"/>
    </row>
    <row r="126" spans="1:20" ht="15" x14ac:dyDescent="0.25">
      <c r="A126" s="317">
        <v>8</v>
      </c>
      <c r="B126" s="12" t="s">
        <v>88</v>
      </c>
      <c r="C126" s="12">
        <f t="shared" si="1"/>
        <v>0</v>
      </c>
      <c r="D126" s="12" t="s">
        <v>297</v>
      </c>
      <c r="E126" s="13">
        <v>103.70272799999998</v>
      </c>
      <c r="F126" s="14">
        <v>-19</v>
      </c>
      <c r="G126" s="317">
        <v>8</v>
      </c>
      <c r="H126" s="317" t="str">
        <f>IF(ISERROR(VLOOKUP(8,$C126:$D$346,2,0)),"",VLOOKUP(8,$C126:$D$346,2,0))</f>
        <v/>
      </c>
      <c r="I126" s="317" t="s">
        <v>290</v>
      </c>
      <c r="J126" s="317" t="s">
        <v>291</v>
      </c>
      <c r="K126" s="317"/>
      <c r="L126" s="317"/>
      <c r="M126" s="317"/>
      <c r="N126" s="317"/>
      <c r="O126" s="317"/>
      <c r="P126" s="317"/>
      <c r="Q126" s="317"/>
      <c r="R126" s="317"/>
      <c r="S126" s="317"/>
      <c r="T126" s="317"/>
    </row>
    <row r="127" spans="1:20" ht="15" x14ac:dyDescent="0.25">
      <c r="A127" s="317">
        <v>9</v>
      </c>
      <c r="B127" s="12" t="s">
        <v>88</v>
      </c>
      <c r="C127" s="12">
        <f t="shared" si="1"/>
        <v>0</v>
      </c>
      <c r="D127" s="12" t="s">
        <v>298</v>
      </c>
      <c r="E127" s="13">
        <v>71.07996</v>
      </c>
      <c r="F127" s="14">
        <v>12</v>
      </c>
      <c r="G127" s="317">
        <v>9</v>
      </c>
      <c r="H127" s="317" t="str">
        <f>IF(ISERROR(VLOOKUP(9,$C127:$D$346,2,0)),"",VLOOKUP(9,$C127:$D$346,2,0))</f>
        <v/>
      </c>
      <c r="I127" s="317" t="s">
        <v>290</v>
      </c>
      <c r="J127" s="317" t="s">
        <v>291</v>
      </c>
      <c r="K127" s="317"/>
      <c r="L127" s="317"/>
      <c r="M127" s="317"/>
      <c r="N127" s="317"/>
      <c r="O127" s="317"/>
      <c r="P127" s="317"/>
      <c r="Q127" s="317"/>
      <c r="R127" s="317"/>
      <c r="S127" s="317"/>
      <c r="T127" s="317"/>
    </row>
    <row r="128" spans="1:20" ht="15" x14ac:dyDescent="0.25">
      <c r="A128" s="317">
        <v>10</v>
      </c>
      <c r="B128" s="12" t="s">
        <v>88</v>
      </c>
      <c r="C128" s="12">
        <f t="shared" si="1"/>
        <v>0</v>
      </c>
      <c r="D128" s="12" t="s">
        <v>299</v>
      </c>
      <c r="E128" s="13">
        <v>135.15578400000001</v>
      </c>
      <c r="F128" s="14">
        <v>-42</v>
      </c>
      <c r="G128" s="317">
        <v>10</v>
      </c>
      <c r="H128" s="317" t="str">
        <f>IF(ISERROR(VLOOKUP(10,$C128:$D$346,2,0)),"",VLOOKUP(10,$C128:$D$346,2,0))</f>
        <v/>
      </c>
      <c r="I128" s="317" t="s">
        <v>290</v>
      </c>
      <c r="J128" s="317" t="s">
        <v>291</v>
      </c>
      <c r="K128" s="317"/>
      <c r="L128" s="317"/>
      <c r="M128" s="317"/>
      <c r="N128" s="317"/>
      <c r="O128" s="317"/>
      <c r="P128" s="317"/>
      <c r="Q128" s="317"/>
      <c r="R128" s="317"/>
      <c r="S128" s="317"/>
      <c r="T128" s="317"/>
    </row>
    <row r="129" spans="1:20" ht="15" x14ac:dyDescent="0.25">
      <c r="A129" s="317">
        <v>11</v>
      </c>
      <c r="B129" s="12" t="s">
        <v>88</v>
      </c>
      <c r="C129" s="12">
        <f t="shared" si="1"/>
        <v>0</v>
      </c>
      <c r="D129" s="12" t="s">
        <v>300</v>
      </c>
      <c r="E129" s="13">
        <v>133.41172799999998</v>
      </c>
      <c r="F129" s="14">
        <v>-26</v>
      </c>
      <c r="G129" s="317">
        <v>11</v>
      </c>
      <c r="H129" s="317" t="str">
        <f>IF(ISERROR(VLOOKUP(11,$C129:$D$346,2,0)),"",VLOOKUP(11,$C129:$D$346,2,0))</f>
        <v/>
      </c>
      <c r="I129" s="317" t="s">
        <v>290</v>
      </c>
      <c r="J129" s="317" t="s">
        <v>291</v>
      </c>
      <c r="K129" s="317"/>
      <c r="L129" s="317"/>
      <c r="M129" s="317"/>
      <c r="N129" s="317"/>
      <c r="O129" s="317"/>
      <c r="P129" s="317"/>
      <c r="Q129" s="317"/>
      <c r="R129" s="317"/>
      <c r="S129" s="317"/>
      <c r="T129" s="317"/>
    </row>
    <row r="130" spans="1:20" x14ac:dyDescent="0.2">
      <c r="A130" s="317">
        <v>12</v>
      </c>
      <c r="B130" s="12" t="s">
        <v>88</v>
      </c>
      <c r="C130" s="12">
        <f t="shared" si="1"/>
        <v>0</v>
      </c>
      <c r="D130" s="12" t="s">
        <v>301</v>
      </c>
      <c r="E130" s="13">
        <v>110.81215200000001</v>
      </c>
      <c r="F130" s="373">
        <v>3</v>
      </c>
      <c r="G130" s="317">
        <v>12</v>
      </c>
      <c r="H130" s="317" t="str">
        <f>IF(ISERROR(VLOOKUP(12,$C130:$D$346,2,0)),"",VLOOKUP(12,$C130:$D$346,2,0))</f>
        <v/>
      </c>
      <c r="I130" s="317" t="s">
        <v>290</v>
      </c>
      <c r="J130" s="317" t="s">
        <v>291</v>
      </c>
      <c r="K130" s="317"/>
      <c r="L130" s="317"/>
      <c r="M130" s="317"/>
      <c r="N130" s="317"/>
      <c r="O130" s="317"/>
      <c r="P130" s="317"/>
      <c r="Q130" s="317"/>
      <c r="R130" s="317"/>
      <c r="S130" s="317"/>
      <c r="T130" s="317"/>
    </row>
    <row r="131" spans="1:20" ht="15" x14ac:dyDescent="0.25">
      <c r="A131" s="317">
        <v>13</v>
      </c>
      <c r="B131" s="12" t="s">
        <v>88</v>
      </c>
      <c r="C131" s="12">
        <f t="shared" si="1"/>
        <v>0</v>
      </c>
      <c r="D131" s="12" t="s">
        <v>302</v>
      </c>
      <c r="E131" s="13">
        <v>99.339048000000005</v>
      </c>
      <c r="F131" s="14">
        <v>-21</v>
      </c>
      <c r="G131" s="317">
        <v>13</v>
      </c>
      <c r="H131" s="317" t="str">
        <f>IF(ISERROR(VLOOKUP(13,$C131:$D$346,2,0)),"",VLOOKUP(13,$C131:$D$346,2,0))</f>
        <v/>
      </c>
      <c r="I131" s="317" t="s">
        <v>287</v>
      </c>
      <c r="J131" s="317" t="s">
        <v>288</v>
      </c>
      <c r="K131" s="317"/>
      <c r="L131" s="317"/>
      <c r="M131" s="317"/>
      <c r="N131" s="317"/>
      <c r="O131" s="317"/>
      <c r="P131" s="317"/>
      <c r="Q131" s="317"/>
      <c r="R131" s="317"/>
      <c r="S131" s="317"/>
      <c r="T131" s="317"/>
    </row>
    <row r="132" spans="1:20" ht="15" x14ac:dyDescent="0.25">
      <c r="A132" s="317">
        <v>14</v>
      </c>
      <c r="B132" s="12" t="s">
        <v>88</v>
      </c>
      <c r="C132" s="12">
        <f t="shared" si="1"/>
        <v>0</v>
      </c>
      <c r="D132" s="12" t="s">
        <v>303</v>
      </c>
      <c r="E132" s="13">
        <v>76.199879999999993</v>
      </c>
      <c r="F132" s="14">
        <v>2</v>
      </c>
      <c r="G132" s="317">
        <v>14</v>
      </c>
      <c r="H132" s="317" t="str">
        <f>IF(ISERROR(VLOOKUP(14,$C132:$D$346,2,0)),"",VLOOKUP(14,$C132:$D$346,2,0))</f>
        <v/>
      </c>
      <c r="I132" s="317" t="s">
        <v>290</v>
      </c>
      <c r="J132" s="317" t="s">
        <v>291</v>
      </c>
      <c r="K132" s="317"/>
      <c r="L132" s="317"/>
      <c r="M132" s="317"/>
      <c r="N132" s="317"/>
      <c r="O132" s="317"/>
      <c r="P132" s="317"/>
      <c r="Q132" s="317"/>
      <c r="R132" s="317"/>
      <c r="S132" s="317"/>
      <c r="T132" s="317"/>
    </row>
    <row r="133" spans="1:20" x14ac:dyDescent="0.2">
      <c r="A133" s="317">
        <v>15</v>
      </c>
      <c r="B133" s="12" t="s">
        <v>91</v>
      </c>
      <c r="C133" s="12">
        <f t="shared" si="1"/>
        <v>0</v>
      </c>
      <c r="D133" s="12" t="s">
        <v>304</v>
      </c>
      <c r="E133" s="13">
        <v>30.851112000000001</v>
      </c>
      <c r="F133" s="373">
        <v>23</v>
      </c>
      <c r="G133" s="317">
        <v>15</v>
      </c>
      <c r="H133" s="317" t="str">
        <f>IF(ISERROR(VLOOKUP(15,$C133:$D$346,2,0)),"",VLOOKUP(15,$C133:$D$346,2,0))</f>
        <v/>
      </c>
      <c r="I133" s="317" t="s">
        <v>305</v>
      </c>
      <c r="J133" s="317" t="s">
        <v>306</v>
      </c>
      <c r="K133" s="317"/>
      <c r="L133" s="317"/>
      <c r="M133" s="317"/>
      <c r="N133" s="317"/>
      <c r="O133" s="317"/>
      <c r="P133" s="317"/>
      <c r="Q133" s="317"/>
      <c r="R133" s="317"/>
      <c r="S133" s="317"/>
      <c r="T133" s="317"/>
    </row>
    <row r="134" spans="1:20" ht="15" x14ac:dyDescent="0.25">
      <c r="A134" s="317">
        <v>16</v>
      </c>
      <c r="B134" s="12" t="s">
        <v>91</v>
      </c>
      <c r="C134" s="12">
        <f t="shared" si="1"/>
        <v>0</v>
      </c>
      <c r="D134" s="12" t="s">
        <v>307</v>
      </c>
      <c r="E134" s="13">
        <v>38.930304</v>
      </c>
      <c r="F134" s="14">
        <v>20</v>
      </c>
      <c r="G134" s="317"/>
      <c r="H134" s="317"/>
      <c r="I134" s="317" t="s">
        <v>308</v>
      </c>
      <c r="J134" s="317" t="s">
        <v>309</v>
      </c>
      <c r="K134" s="317"/>
      <c r="L134" s="317"/>
      <c r="M134" s="317"/>
      <c r="N134" s="317"/>
      <c r="O134" s="317"/>
      <c r="P134" s="317"/>
      <c r="Q134" s="317"/>
      <c r="R134" s="317"/>
      <c r="S134" s="317"/>
      <c r="T134" s="317"/>
    </row>
    <row r="135" spans="1:20" ht="15" x14ac:dyDescent="0.25">
      <c r="A135" s="317">
        <v>17</v>
      </c>
      <c r="B135" s="12" t="s">
        <v>91</v>
      </c>
      <c r="C135" s="12">
        <f t="shared" si="1"/>
        <v>0</v>
      </c>
      <c r="D135" s="12" t="s">
        <v>310</v>
      </c>
      <c r="E135" s="13">
        <v>23.041128</v>
      </c>
      <c r="F135" s="14">
        <v>30</v>
      </c>
      <c r="G135" s="317"/>
      <c r="H135" s="317"/>
      <c r="I135" s="317" t="s">
        <v>305</v>
      </c>
      <c r="J135" s="317" t="s">
        <v>306</v>
      </c>
      <c r="K135" s="317"/>
      <c r="L135" s="317"/>
      <c r="M135" s="317"/>
      <c r="N135" s="317"/>
      <c r="O135" s="317"/>
      <c r="P135" s="317"/>
      <c r="Q135" s="317"/>
      <c r="R135" s="317"/>
      <c r="S135" s="317"/>
      <c r="T135" s="317"/>
    </row>
    <row r="136" spans="1:20" ht="15" x14ac:dyDescent="0.25">
      <c r="A136" s="317">
        <v>18</v>
      </c>
      <c r="B136" s="12" t="s">
        <v>91</v>
      </c>
      <c r="C136" s="12">
        <f t="shared" si="1"/>
        <v>0</v>
      </c>
      <c r="D136" s="12" t="s">
        <v>311</v>
      </c>
      <c r="E136" s="13">
        <v>24.812711999999998</v>
      </c>
      <c r="F136" s="14">
        <v>27</v>
      </c>
      <c r="G136" s="317"/>
      <c r="H136" s="317"/>
      <c r="I136" s="317" t="s">
        <v>305</v>
      </c>
      <c r="J136" s="317" t="s">
        <v>306</v>
      </c>
      <c r="K136" s="317"/>
      <c r="L136" s="317"/>
      <c r="M136" s="317"/>
      <c r="N136" s="317"/>
      <c r="O136" s="317"/>
      <c r="P136" s="317"/>
      <c r="Q136" s="317"/>
      <c r="R136" s="317"/>
      <c r="S136" s="317"/>
      <c r="T136" s="317"/>
    </row>
    <row r="137" spans="1:20" ht="15" x14ac:dyDescent="0.25">
      <c r="A137" s="317">
        <v>19</v>
      </c>
      <c r="B137" s="12" t="s">
        <v>94</v>
      </c>
      <c r="C137" s="12">
        <f t="shared" si="1"/>
        <v>0</v>
      </c>
      <c r="D137" s="12" t="s">
        <v>312</v>
      </c>
      <c r="E137" s="13">
        <v>35.974752000000002</v>
      </c>
      <c r="F137" s="14">
        <v>19</v>
      </c>
      <c r="G137" s="317"/>
      <c r="H137" s="317"/>
      <c r="I137" s="317" t="s">
        <v>313</v>
      </c>
      <c r="J137" s="317" t="s">
        <v>314</v>
      </c>
      <c r="K137" s="317"/>
      <c r="L137" s="317"/>
      <c r="M137" s="317"/>
      <c r="N137" s="317"/>
      <c r="O137" s="317"/>
      <c r="P137" s="317"/>
      <c r="Q137" s="317"/>
      <c r="R137" s="317"/>
      <c r="S137" s="317"/>
      <c r="T137" s="317"/>
    </row>
    <row r="138" spans="1:20" ht="15" x14ac:dyDescent="0.25">
      <c r="A138" s="317">
        <v>20</v>
      </c>
      <c r="B138" s="12" t="s">
        <v>94</v>
      </c>
      <c r="C138" s="12">
        <f t="shared" si="1"/>
        <v>0</v>
      </c>
      <c r="D138" s="12" t="s">
        <v>315</v>
      </c>
      <c r="E138" s="13">
        <v>34.761552000000002</v>
      </c>
      <c r="F138" s="14">
        <v>21</v>
      </c>
      <c r="G138" s="317"/>
      <c r="H138" s="317"/>
      <c r="I138" s="317" t="s">
        <v>313</v>
      </c>
      <c r="J138" s="317" t="s">
        <v>314</v>
      </c>
      <c r="K138" s="317"/>
      <c r="L138" s="317"/>
      <c r="M138" s="317"/>
      <c r="N138" s="317"/>
      <c r="O138" s="317"/>
      <c r="P138" s="317"/>
      <c r="Q138" s="317"/>
      <c r="R138" s="317"/>
      <c r="S138" s="317"/>
      <c r="T138" s="317"/>
    </row>
    <row r="139" spans="1:20" ht="15" x14ac:dyDescent="0.25">
      <c r="A139" s="317">
        <v>21</v>
      </c>
      <c r="B139" s="12" t="s">
        <v>97</v>
      </c>
      <c r="C139" s="12">
        <f t="shared" si="1"/>
        <v>0</v>
      </c>
      <c r="D139" s="12" t="s">
        <v>316</v>
      </c>
      <c r="E139" s="13">
        <v>45.181752000000003</v>
      </c>
      <c r="F139" s="14">
        <v>8</v>
      </c>
      <c r="G139" s="317"/>
      <c r="H139" s="317"/>
      <c r="I139" s="317" t="s">
        <v>317</v>
      </c>
      <c r="J139" s="317" t="s">
        <v>318</v>
      </c>
      <c r="K139" s="317"/>
      <c r="L139" s="317"/>
      <c r="M139" s="317"/>
      <c r="N139" s="317"/>
      <c r="O139" s="317"/>
      <c r="P139" s="317"/>
      <c r="Q139" s="317"/>
      <c r="R139" s="317"/>
      <c r="S139" s="317"/>
      <c r="T139" s="317"/>
    </row>
    <row r="140" spans="1:20" ht="15" x14ac:dyDescent="0.25">
      <c r="A140" s="317">
        <v>22</v>
      </c>
      <c r="B140" s="12" t="s">
        <v>97</v>
      </c>
      <c r="C140" s="12">
        <f t="shared" si="1"/>
        <v>0</v>
      </c>
      <c r="D140" s="12" t="s">
        <v>319</v>
      </c>
      <c r="E140" s="13">
        <v>16.992671999999999</v>
      </c>
      <c r="F140" s="14">
        <v>37.5</v>
      </c>
      <c r="G140" s="317"/>
      <c r="H140" s="317"/>
      <c r="I140" s="317" t="s">
        <v>317</v>
      </c>
      <c r="J140" s="317" t="s">
        <v>318</v>
      </c>
      <c r="K140" s="317"/>
      <c r="L140" s="317"/>
      <c r="M140" s="317"/>
      <c r="N140" s="317"/>
      <c r="O140" s="317"/>
      <c r="P140" s="317"/>
      <c r="Q140" s="317"/>
      <c r="R140" s="317"/>
      <c r="S140" s="317"/>
      <c r="T140" s="317"/>
    </row>
    <row r="141" spans="1:20" ht="15" x14ac:dyDescent="0.25">
      <c r="A141" s="317">
        <v>23</v>
      </c>
      <c r="B141" s="12" t="s">
        <v>97</v>
      </c>
      <c r="C141" s="12">
        <f t="shared" si="1"/>
        <v>0</v>
      </c>
      <c r="D141" s="12" t="s">
        <v>320</v>
      </c>
      <c r="E141" s="13">
        <v>34.038288000000009</v>
      </c>
      <c r="F141" s="14">
        <v>20</v>
      </c>
      <c r="G141" s="317"/>
      <c r="H141" s="317"/>
      <c r="I141" s="317" t="s">
        <v>317</v>
      </c>
      <c r="J141" s="317" t="s">
        <v>318</v>
      </c>
      <c r="K141" s="317"/>
      <c r="L141" s="317"/>
      <c r="M141" s="317"/>
      <c r="N141" s="317"/>
      <c r="O141" s="317"/>
      <c r="P141" s="317"/>
      <c r="Q141" s="317"/>
      <c r="R141" s="317"/>
      <c r="S141" s="317"/>
      <c r="T141" s="317"/>
    </row>
    <row r="142" spans="1:20" ht="15" x14ac:dyDescent="0.25">
      <c r="A142" s="317">
        <v>24</v>
      </c>
      <c r="B142" s="12" t="s">
        <v>97</v>
      </c>
      <c r="C142" s="12">
        <f t="shared" si="1"/>
        <v>0</v>
      </c>
      <c r="D142" s="12" t="s">
        <v>321</v>
      </c>
      <c r="E142" s="13">
        <v>19.630752000000001</v>
      </c>
      <c r="F142" s="14">
        <v>34</v>
      </c>
      <c r="G142" s="317"/>
      <c r="H142" s="317"/>
      <c r="I142" s="317" t="s">
        <v>317</v>
      </c>
      <c r="J142" s="317" t="s">
        <v>318</v>
      </c>
      <c r="K142" s="317"/>
      <c r="L142" s="317"/>
      <c r="M142" s="317"/>
      <c r="N142" s="317"/>
      <c r="O142" s="317"/>
      <c r="P142" s="317"/>
      <c r="Q142" s="317"/>
      <c r="R142" s="317"/>
      <c r="S142" s="317"/>
      <c r="T142" s="317"/>
    </row>
    <row r="143" spans="1:20" ht="15" x14ac:dyDescent="0.25">
      <c r="A143" s="317">
        <v>25</v>
      </c>
      <c r="B143" s="12" t="s">
        <v>100</v>
      </c>
      <c r="C143" s="12">
        <f t="shared" si="1"/>
        <v>0</v>
      </c>
      <c r="D143" s="12" t="s">
        <v>322</v>
      </c>
      <c r="E143" s="13">
        <v>23.696064</v>
      </c>
      <c r="F143" s="14">
        <v>32</v>
      </c>
      <c r="G143" s="317"/>
      <c r="H143" s="317"/>
      <c r="I143" s="317" t="s">
        <v>323</v>
      </c>
      <c r="J143" s="317" t="s">
        <v>324</v>
      </c>
      <c r="K143" s="317"/>
      <c r="L143" s="317"/>
      <c r="M143" s="317"/>
      <c r="N143" s="317"/>
      <c r="O143" s="317"/>
      <c r="P143" s="317"/>
      <c r="Q143" s="317"/>
      <c r="R143" s="317"/>
      <c r="S143" s="317"/>
      <c r="T143" s="317"/>
    </row>
    <row r="144" spans="1:20" ht="15" x14ac:dyDescent="0.25">
      <c r="A144" s="317">
        <v>26</v>
      </c>
      <c r="B144" s="12" t="s">
        <v>100</v>
      </c>
      <c r="C144" s="12">
        <f t="shared" si="1"/>
        <v>0</v>
      </c>
      <c r="D144" s="12" t="s">
        <v>325</v>
      </c>
      <c r="E144" s="13">
        <v>22.651848000000001</v>
      </c>
      <c r="F144" s="14">
        <v>35</v>
      </c>
      <c r="G144" s="317"/>
      <c r="H144" s="317"/>
      <c r="I144" s="317" t="s">
        <v>323</v>
      </c>
      <c r="J144" s="317" t="s">
        <v>324</v>
      </c>
      <c r="K144" s="317"/>
      <c r="L144" s="317"/>
      <c r="M144" s="317"/>
      <c r="N144" s="317"/>
      <c r="O144" s="317"/>
      <c r="P144" s="317"/>
      <c r="Q144" s="317"/>
      <c r="R144" s="317"/>
      <c r="S144" s="317"/>
      <c r="T144" s="317"/>
    </row>
    <row r="145" spans="1:10" x14ac:dyDescent="0.2">
      <c r="A145" s="317">
        <v>27</v>
      </c>
      <c r="B145" s="12" t="s">
        <v>100</v>
      </c>
      <c r="C145" s="12">
        <f t="shared" si="1"/>
        <v>0</v>
      </c>
      <c r="D145" s="12" t="s">
        <v>326</v>
      </c>
      <c r="E145" s="13">
        <v>20.389320000000001</v>
      </c>
      <c r="F145" s="373">
        <v>32</v>
      </c>
      <c r="G145" s="317"/>
      <c r="H145" s="317"/>
      <c r="I145" s="317" t="s">
        <v>323</v>
      </c>
      <c r="J145" s="317" t="s">
        <v>324</v>
      </c>
    </row>
    <row r="146" spans="1:10" ht="15" x14ac:dyDescent="0.25">
      <c r="A146" s="317">
        <v>28</v>
      </c>
      <c r="B146" s="12" t="s">
        <v>100</v>
      </c>
      <c r="C146" s="12">
        <f t="shared" si="1"/>
        <v>0</v>
      </c>
      <c r="D146" s="12" t="s">
        <v>327</v>
      </c>
      <c r="E146" s="13">
        <v>29.731992000000005</v>
      </c>
      <c r="F146" s="14">
        <v>32</v>
      </c>
      <c r="G146" s="317"/>
      <c r="H146" s="317"/>
      <c r="I146" s="317" t="s">
        <v>323</v>
      </c>
      <c r="J146" s="317" t="s">
        <v>324</v>
      </c>
    </row>
    <row r="147" spans="1:10" ht="15" x14ac:dyDescent="0.25">
      <c r="A147" s="317">
        <v>29</v>
      </c>
      <c r="B147" s="12" t="s">
        <v>100</v>
      </c>
      <c r="C147" s="12">
        <f t="shared" si="1"/>
        <v>0</v>
      </c>
      <c r="D147" s="12" t="s">
        <v>328</v>
      </c>
      <c r="E147" s="13">
        <v>15.272472000000002</v>
      </c>
      <c r="F147" s="14">
        <v>43</v>
      </c>
      <c r="G147" s="317"/>
      <c r="H147" s="317"/>
      <c r="I147" s="317" t="s">
        <v>323</v>
      </c>
      <c r="J147" s="317" t="s">
        <v>324</v>
      </c>
    </row>
    <row r="148" spans="1:10" ht="15" x14ac:dyDescent="0.25">
      <c r="A148" s="317">
        <v>30</v>
      </c>
      <c r="B148" s="12" t="s">
        <v>100</v>
      </c>
      <c r="C148" s="12">
        <f t="shared" si="1"/>
        <v>0</v>
      </c>
      <c r="D148" s="12" t="s">
        <v>329</v>
      </c>
      <c r="E148" s="13">
        <v>13.936680000000001</v>
      </c>
      <c r="F148" s="14">
        <v>45</v>
      </c>
      <c r="G148" s="317"/>
      <c r="H148" s="317"/>
      <c r="I148" s="317" t="s">
        <v>323</v>
      </c>
      <c r="J148" s="317" t="s">
        <v>324</v>
      </c>
    </row>
    <row r="149" spans="1:10" ht="15" x14ac:dyDescent="0.25">
      <c r="A149" s="317">
        <v>31</v>
      </c>
      <c r="B149" s="12" t="s">
        <v>100</v>
      </c>
      <c r="C149" s="12">
        <f t="shared" si="1"/>
        <v>0</v>
      </c>
      <c r="D149" s="12" t="s">
        <v>330</v>
      </c>
      <c r="E149" s="13">
        <v>31.808664</v>
      </c>
      <c r="F149" s="14">
        <v>33</v>
      </c>
      <c r="G149" s="317"/>
      <c r="H149" s="317"/>
      <c r="I149" s="317" t="s">
        <v>323</v>
      </c>
      <c r="J149" s="317" t="s">
        <v>324</v>
      </c>
    </row>
    <row r="150" spans="1:10" ht="15" x14ac:dyDescent="0.25">
      <c r="A150" s="317">
        <v>32</v>
      </c>
      <c r="B150" s="12" t="s">
        <v>100</v>
      </c>
      <c r="C150" s="12">
        <f t="shared" si="1"/>
        <v>0</v>
      </c>
      <c r="D150" s="12" t="s">
        <v>331</v>
      </c>
      <c r="E150" s="13">
        <v>10.032456</v>
      </c>
      <c r="F150" s="14">
        <v>44</v>
      </c>
      <c r="G150" s="317"/>
      <c r="H150" s="317"/>
      <c r="I150" s="317" t="s">
        <v>323</v>
      </c>
      <c r="J150" s="317" t="s">
        <v>324</v>
      </c>
    </row>
    <row r="151" spans="1:10" ht="15" x14ac:dyDescent="0.25">
      <c r="A151" s="317">
        <v>33</v>
      </c>
      <c r="B151" s="12" t="s">
        <v>100</v>
      </c>
      <c r="C151" s="12">
        <f t="shared" si="1"/>
        <v>0</v>
      </c>
      <c r="D151" s="12" t="s">
        <v>332</v>
      </c>
      <c r="E151" s="13">
        <v>20.737296000000001</v>
      </c>
      <c r="F151" s="14">
        <v>39</v>
      </c>
      <c r="G151" s="317"/>
      <c r="H151" s="317"/>
      <c r="I151" s="317" t="s">
        <v>323</v>
      </c>
      <c r="J151" s="317" t="s">
        <v>324</v>
      </c>
    </row>
    <row r="152" spans="1:10" ht="15" x14ac:dyDescent="0.25">
      <c r="A152" s="317">
        <v>34</v>
      </c>
      <c r="B152" s="12" t="s">
        <v>100</v>
      </c>
      <c r="C152" s="12">
        <f t="shared" si="1"/>
        <v>0</v>
      </c>
      <c r="D152" s="12" t="s">
        <v>333</v>
      </c>
      <c r="E152" s="13">
        <v>20.624375999999998</v>
      </c>
      <c r="F152" s="14">
        <v>35</v>
      </c>
      <c r="G152" s="317"/>
      <c r="H152" s="317"/>
      <c r="I152" s="317" t="s">
        <v>323</v>
      </c>
      <c r="J152" s="317" t="s">
        <v>324</v>
      </c>
    </row>
    <row r="153" spans="1:10" ht="15" x14ac:dyDescent="0.25">
      <c r="A153" s="317">
        <v>35</v>
      </c>
      <c r="B153" s="12" t="s">
        <v>102</v>
      </c>
      <c r="C153" s="12">
        <f t="shared" si="1"/>
        <v>0</v>
      </c>
      <c r="D153" s="12" t="s">
        <v>334</v>
      </c>
      <c r="E153" s="13">
        <v>57.752184</v>
      </c>
      <c r="F153" s="14">
        <v>-11</v>
      </c>
      <c r="G153" s="317"/>
      <c r="H153" s="317"/>
      <c r="I153" s="317" t="s">
        <v>335</v>
      </c>
      <c r="J153" s="317" t="s">
        <v>336</v>
      </c>
    </row>
    <row r="154" spans="1:10" x14ac:dyDescent="0.2">
      <c r="A154" s="317">
        <v>36</v>
      </c>
      <c r="B154" s="12" t="s">
        <v>102</v>
      </c>
      <c r="C154" s="12">
        <f t="shared" si="1"/>
        <v>0</v>
      </c>
      <c r="D154" s="12" t="s">
        <v>337</v>
      </c>
      <c r="E154" s="13">
        <v>46.840200000000003</v>
      </c>
      <c r="F154" s="373">
        <v>4</v>
      </c>
      <c r="G154" s="317"/>
      <c r="H154" s="317"/>
      <c r="I154" s="317" t="s">
        <v>335</v>
      </c>
      <c r="J154" s="317" t="s">
        <v>336</v>
      </c>
    </row>
    <row r="155" spans="1:10" ht="15" x14ac:dyDescent="0.25">
      <c r="A155" s="317">
        <v>37</v>
      </c>
      <c r="B155" s="12" t="s">
        <v>102</v>
      </c>
      <c r="C155" s="12">
        <f t="shared" si="1"/>
        <v>0</v>
      </c>
      <c r="D155" s="12" t="s">
        <v>338</v>
      </c>
      <c r="E155" s="13">
        <v>60.644495999999997</v>
      </c>
      <c r="F155" s="14">
        <v>-7</v>
      </c>
      <c r="G155" s="317"/>
      <c r="H155" s="317"/>
      <c r="I155" s="317" t="s">
        <v>335</v>
      </c>
      <c r="J155" s="317" t="s">
        <v>336</v>
      </c>
    </row>
    <row r="156" spans="1:10" ht="15" x14ac:dyDescent="0.25">
      <c r="A156" s="317">
        <v>38</v>
      </c>
      <c r="B156" s="12" t="s">
        <v>102</v>
      </c>
      <c r="C156" s="12">
        <f t="shared" si="1"/>
        <v>0</v>
      </c>
      <c r="D156" s="12" t="s">
        <v>339</v>
      </c>
      <c r="E156" s="13">
        <v>40.669824000000006</v>
      </c>
      <c r="F156" s="14">
        <v>5</v>
      </c>
      <c r="G156" s="317"/>
      <c r="H156" s="317"/>
      <c r="I156" s="317" t="s">
        <v>335</v>
      </c>
      <c r="J156" s="317" t="s">
        <v>336</v>
      </c>
    </row>
    <row r="157" spans="1:10" ht="15" x14ac:dyDescent="0.25">
      <c r="A157" s="317">
        <v>39</v>
      </c>
      <c r="B157" s="12" t="s">
        <v>104</v>
      </c>
      <c r="C157" s="12">
        <f t="shared" si="1"/>
        <v>0</v>
      </c>
      <c r="D157" s="12" t="s">
        <v>340</v>
      </c>
      <c r="E157" s="13">
        <v>51.654816000000004</v>
      </c>
      <c r="F157" s="14">
        <v>12</v>
      </c>
      <c r="G157" s="317"/>
      <c r="H157" s="317"/>
      <c r="I157" s="317" t="s">
        <v>341</v>
      </c>
      <c r="J157" s="317" t="s">
        <v>342</v>
      </c>
    </row>
    <row r="158" spans="1:10" ht="15" x14ac:dyDescent="0.25">
      <c r="A158" s="317">
        <v>40</v>
      </c>
      <c r="B158" s="12" t="s">
        <v>104</v>
      </c>
      <c r="C158" s="12">
        <f t="shared" si="1"/>
        <v>0</v>
      </c>
      <c r="D158" s="12" t="s">
        <v>343</v>
      </c>
      <c r="E158" s="13">
        <v>53.078496000000001</v>
      </c>
      <c r="F158" s="14">
        <v>6</v>
      </c>
      <c r="G158" s="317"/>
      <c r="H158" s="317"/>
      <c r="I158" s="317" t="s">
        <v>341</v>
      </c>
      <c r="J158" s="317" t="s">
        <v>342</v>
      </c>
    </row>
    <row r="159" spans="1:10" x14ac:dyDescent="0.2">
      <c r="A159" s="317">
        <v>41</v>
      </c>
      <c r="B159" s="12" t="s">
        <v>107</v>
      </c>
      <c r="C159" s="12">
        <f t="shared" si="1"/>
        <v>0</v>
      </c>
      <c r="D159" s="12" t="s">
        <v>190</v>
      </c>
      <c r="E159" s="13">
        <v>45.549647999999998</v>
      </c>
      <c r="F159" s="373">
        <v>20</v>
      </c>
      <c r="G159" s="317"/>
      <c r="H159" s="317"/>
      <c r="I159" s="317" t="s">
        <v>344</v>
      </c>
      <c r="J159" s="317" t="s">
        <v>345</v>
      </c>
    </row>
    <row r="160" spans="1:10" ht="15" x14ac:dyDescent="0.25">
      <c r="A160" s="317">
        <v>42</v>
      </c>
      <c r="B160" s="12" t="s">
        <v>110</v>
      </c>
      <c r="C160" s="12">
        <f t="shared" si="1"/>
        <v>0</v>
      </c>
      <c r="D160" s="12" t="s">
        <v>346</v>
      </c>
      <c r="E160" s="13">
        <v>49.679831999999998</v>
      </c>
      <c r="F160" s="14">
        <v>14</v>
      </c>
      <c r="G160" s="317"/>
      <c r="H160" s="317"/>
      <c r="I160" s="317" t="s">
        <v>344</v>
      </c>
      <c r="J160" s="317" t="s">
        <v>345</v>
      </c>
    </row>
    <row r="161" spans="1:10" ht="15" x14ac:dyDescent="0.25">
      <c r="A161" s="317">
        <v>43</v>
      </c>
      <c r="B161" s="12" t="s">
        <v>112</v>
      </c>
      <c r="C161" s="12">
        <f t="shared" si="1"/>
        <v>0</v>
      </c>
      <c r="D161" s="12" t="s">
        <v>347</v>
      </c>
      <c r="E161" s="13">
        <v>13.380072000000002</v>
      </c>
      <c r="F161" s="14">
        <v>37</v>
      </c>
      <c r="G161" s="317"/>
      <c r="H161" s="317"/>
      <c r="I161" s="317" t="s">
        <v>348</v>
      </c>
      <c r="J161" s="317" t="s">
        <v>349</v>
      </c>
    </row>
    <row r="162" spans="1:10" x14ac:dyDescent="0.2">
      <c r="A162" s="317">
        <v>44</v>
      </c>
      <c r="B162" s="12" t="s">
        <v>112</v>
      </c>
      <c r="C162" s="12">
        <f t="shared" si="1"/>
        <v>0</v>
      </c>
      <c r="D162" s="12" t="s">
        <v>350</v>
      </c>
      <c r="E162" s="13">
        <v>17.972663999999998</v>
      </c>
      <c r="F162" s="373">
        <v>35</v>
      </c>
      <c r="G162" s="317"/>
      <c r="H162" s="317"/>
      <c r="I162" s="317" t="s">
        <v>348</v>
      </c>
      <c r="J162" s="317" t="s">
        <v>349</v>
      </c>
    </row>
    <row r="163" spans="1:10" ht="15" x14ac:dyDescent="0.25">
      <c r="A163" s="317">
        <v>45</v>
      </c>
      <c r="B163" s="12" t="s">
        <v>112</v>
      </c>
      <c r="C163" s="12">
        <f t="shared" si="1"/>
        <v>0</v>
      </c>
      <c r="D163" s="12" t="s">
        <v>351</v>
      </c>
      <c r="E163" s="13">
        <v>0.26263199999999998</v>
      </c>
      <c r="F163" s="14">
        <v>58</v>
      </c>
      <c r="G163" s="317"/>
      <c r="H163" s="317"/>
      <c r="I163" s="317" t="s">
        <v>348</v>
      </c>
      <c r="J163" s="317" t="s">
        <v>349</v>
      </c>
    </row>
    <row r="164" spans="1:10" ht="15" x14ac:dyDescent="0.25">
      <c r="A164" s="317">
        <v>46</v>
      </c>
      <c r="B164" s="12" t="s">
        <v>112</v>
      </c>
      <c r="C164" s="12">
        <f t="shared" si="1"/>
        <v>0</v>
      </c>
      <c r="D164" s="12" t="s">
        <v>352</v>
      </c>
      <c r="E164" s="13">
        <v>0.93772800000000012</v>
      </c>
      <c r="F164" s="14">
        <v>49.5</v>
      </c>
      <c r="G164" s="317"/>
      <c r="H164" s="317"/>
      <c r="I164" s="317" t="s">
        <v>348</v>
      </c>
      <c r="J164" s="317" t="s">
        <v>349</v>
      </c>
    </row>
    <row r="165" spans="1:10" ht="15" x14ac:dyDescent="0.25">
      <c r="A165" s="317">
        <v>47</v>
      </c>
      <c r="B165" s="12" t="s">
        <v>112</v>
      </c>
      <c r="C165" s="12">
        <f t="shared" si="1"/>
        <v>0</v>
      </c>
      <c r="D165" s="12" t="s">
        <v>353</v>
      </c>
      <c r="E165" s="13">
        <v>21.522959999999998</v>
      </c>
      <c r="F165" s="14">
        <v>28</v>
      </c>
      <c r="G165" s="317"/>
      <c r="H165" s="317"/>
      <c r="I165" s="317" t="s">
        <v>348</v>
      </c>
      <c r="J165" s="317" t="s">
        <v>349</v>
      </c>
    </row>
    <row r="166" spans="1:10" ht="15" x14ac:dyDescent="0.25">
      <c r="A166" s="317">
        <v>48</v>
      </c>
      <c r="B166" s="12" t="s">
        <v>112</v>
      </c>
      <c r="C166" s="12">
        <f t="shared" si="1"/>
        <v>0</v>
      </c>
      <c r="D166" s="12" t="s">
        <v>354</v>
      </c>
      <c r="E166" s="13">
        <v>11.346575999999999</v>
      </c>
      <c r="F166" s="14">
        <v>40</v>
      </c>
      <c r="G166" s="317"/>
      <c r="H166" s="317"/>
      <c r="I166" s="317" t="s">
        <v>348</v>
      </c>
      <c r="J166" s="317" t="s">
        <v>349</v>
      </c>
    </row>
    <row r="167" spans="1:10" x14ac:dyDescent="0.2">
      <c r="A167" s="317">
        <v>49</v>
      </c>
      <c r="B167" s="12" t="s">
        <v>112</v>
      </c>
      <c r="C167" s="12">
        <f t="shared" si="1"/>
        <v>0</v>
      </c>
      <c r="D167" s="12" t="s">
        <v>355</v>
      </c>
      <c r="E167" s="13">
        <v>1.1881439999999999</v>
      </c>
      <c r="F167" s="373">
        <v>47</v>
      </c>
      <c r="G167" s="317"/>
      <c r="H167" s="317"/>
      <c r="I167" s="317" t="s">
        <v>348</v>
      </c>
      <c r="J167" s="317" t="s">
        <v>349</v>
      </c>
    </row>
    <row r="168" spans="1:10" ht="15" x14ac:dyDescent="0.25">
      <c r="A168" s="317">
        <v>50</v>
      </c>
      <c r="B168" s="12" t="s">
        <v>114</v>
      </c>
      <c r="C168" s="12">
        <f t="shared" si="1"/>
        <v>0</v>
      </c>
      <c r="D168" s="12" t="s">
        <v>356</v>
      </c>
      <c r="E168" s="13">
        <v>29.374319999999997</v>
      </c>
      <c r="F168" s="14">
        <v>25</v>
      </c>
      <c r="G168" s="317"/>
      <c r="H168" s="317"/>
      <c r="I168" s="317" t="s">
        <v>305</v>
      </c>
      <c r="J168" s="317" t="s">
        <v>306</v>
      </c>
    </row>
    <row r="169" spans="1:10" x14ac:dyDescent="0.2">
      <c r="A169" s="317">
        <v>51</v>
      </c>
      <c r="B169" s="12" t="s">
        <v>114</v>
      </c>
      <c r="C169" s="12">
        <f t="shared" si="1"/>
        <v>0</v>
      </c>
      <c r="D169" s="12" t="s">
        <v>357</v>
      </c>
      <c r="E169" s="13">
        <v>33.156744000000003</v>
      </c>
      <c r="F169" s="373">
        <v>23</v>
      </c>
      <c r="G169" s="317"/>
      <c r="H169" s="317"/>
      <c r="I169" s="317" t="s">
        <v>305</v>
      </c>
      <c r="J169" s="317" t="s">
        <v>306</v>
      </c>
    </row>
    <row r="170" spans="1:10" ht="15" x14ac:dyDescent="0.25">
      <c r="A170" s="317">
        <v>52</v>
      </c>
      <c r="B170" s="12" t="s">
        <v>114</v>
      </c>
      <c r="C170" s="12">
        <f t="shared" si="1"/>
        <v>0</v>
      </c>
      <c r="D170" s="12" t="s">
        <v>358</v>
      </c>
      <c r="E170" s="13">
        <v>30.426432000000005</v>
      </c>
      <c r="F170" s="14">
        <v>25</v>
      </c>
      <c r="G170" s="317"/>
      <c r="H170" s="317"/>
      <c r="I170" s="317" t="s">
        <v>305</v>
      </c>
      <c r="J170" s="317" t="s">
        <v>306</v>
      </c>
    </row>
    <row r="171" spans="1:10" ht="15" x14ac:dyDescent="0.25">
      <c r="A171" s="317">
        <v>53</v>
      </c>
      <c r="B171" s="12" t="s">
        <v>114</v>
      </c>
      <c r="C171" s="12">
        <f t="shared" si="1"/>
        <v>0</v>
      </c>
      <c r="D171" s="12" t="s">
        <v>359</v>
      </c>
      <c r="E171" s="13">
        <v>27.519264</v>
      </c>
      <c r="F171" s="14">
        <v>27</v>
      </c>
      <c r="G171" s="317"/>
      <c r="H171" s="317"/>
      <c r="I171" s="317" t="s">
        <v>305</v>
      </c>
      <c r="J171" s="317" t="s">
        <v>306</v>
      </c>
    </row>
    <row r="172" spans="1:10" ht="15" x14ac:dyDescent="0.25">
      <c r="A172" s="317">
        <v>54</v>
      </c>
      <c r="B172" s="12" t="s">
        <v>114</v>
      </c>
      <c r="C172" s="12">
        <f t="shared" si="1"/>
        <v>0</v>
      </c>
      <c r="D172" s="12" t="s">
        <v>360</v>
      </c>
      <c r="E172" s="13">
        <v>28.642199999999995</v>
      </c>
      <c r="F172" s="14">
        <v>27</v>
      </c>
      <c r="G172" s="317"/>
      <c r="H172" s="317"/>
      <c r="I172" s="317" t="s">
        <v>305</v>
      </c>
      <c r="J172" s="317" t="s">
        <v>306</v>
      </c>
    </row>
    <row r="173" spans="1:10" ht="15" x14ac:dyDescent="0.25">
      <c r="A173" s="317">
        <v>55</v>
      </c>
      <c r="B173" s="12" t="s">
        <v>114</v>
      </c>
      <c r="C173" s="12">
        <f t="shared" si="1"/>
        <v>0</v>
      </c>
      <c r="D173" s="12" t="s">
        <v>361</v>
      </c>
      <c r="E173" s="13">
        <v>24.540600000000001</v>
      </c>
      <c r="F173" s="14">
        <v>29</v>
      </c>
      <c r="G173" s="317"/>
      <c r="H173" s="317"/>
      <c r="I173" s="317" t="s">
        <v>305</v>
      </c>
      <c r="J173" s="317" t="s">
        <v>306</v>
      </c>
    </row>
    <row r="174" spans="1:10" ht="15" x14ac:dyDescent="0.25">
      <c r="A174" s="317">
        <v>56</v>
      </c>
      <c r="B174" s="12" t="s">
        <v>116</v>
      </c>
      <c r="C174" s="12">
        <f t="shared" si="1"/>
        <v>0</v>
      </c>
      <c r="D174" s="12" t="s">
        <v>362</v>
      </c>
      <c r="E174" s="13">
        <v>8.2319999999999997E-3</v>
      </c>
      <c r="F174" s="14">
        <v>63</v>
      </c>
      <c r="G174" s="317"/>
      <c r="H174" s="317"/>
      <c r="I174" s="317" t="s">
        <v>363</v>
      </c>
      <c r="J174" s="317" t="s">
        <v>364</v>
      </c>
    </row>
    <row r="175" spans="1:10" ht="15" x14ac:dyDescent="0.25">
      <c r="A175" s="317">
        <v>57</v>
      </c>
      <c r="B175" s="12" t="s">
        <v>116</v>
      </c>
      <c r="C175" s="12">
        <f t="shared" si="1"/>
        <v>0</v>
      </c>
      <c r="D175" s="12" t="s">
        <v>365</v>
      </c>
      <c r="E175" s="13">
        <v>1.5072E-2</v>
      </c>
      <c r="F175" s="14">
        <v>63</v>
      </c>
      <c r="G175" s="317"/>
      <c r="H175" s="317"/>
      <c r="I175" s="317" t="s">
        <v>366</v>
      </c>
      <c r="J175" s="317" t="s">
        <v>367</v>
      </c>
    </row>
    <row r="176" spans="1:10" ht="15" x14ac:dyDescent="0.25">
      <c r="A176" s="317">
        <v>58</v>
      </c>
      <c r="B176" s="12" t="s">
        <v>116</v>
      </c>
      <c r="C176" s="12">
        <f t="shared" si="1"/>
        <v>0</v>
      </c>
      <c r="D176" s="12" t="s">
        <v>368</v>
      </c>
      <c r="E176" s="13">
        <v>5.8512000000000002E-2</v>
      </c>
      <c r="F176" s="14">
        <v>61</v>
      </c>
      <c r="G176" s="317"/>
      <c r="H176" s="317"/>
      <c r="I176" s="317" t="s">
        <v>363</v>
      </c>
      <c r="J176" s="317" t="s">
        <v>364</v>
      </c>
    </row>
    <row r="177" spans="1:10" ht="15" x14ac:dyDescent="0.25">
      <c r="A177" s="317">
        <v>59</v>
      </c>
      <c r="B177" s="12" t="s">
        <v>116</v>
      </c>
      <c r="C177" s="12">
        <f t="shared" si="1"/>
        <v>0</v>
      </c>
      <c r="D177" s="12" t="s">
        <v>369</v>
      </c>
      <c r="E177" s="13">
        <v>2.3400000000000004E-2</v>
      </c>
      <c r="F177" s="14">
        <v>62</v>
      </c>
      <c r="G177" s="317"/>
      <c r="H177" s="317"/>
      <c r="I177" s="317" t="s">
        <v>363</v>
      </c>
      <c r="J177" s="317" t="s">
        <v>364</v>
      </c>
    </row>
    <row r="178" spans="1:10" ht="15" x14ac:dyDescent="0.25">
      <c r="A178" s="317">
        <v>60</v>
      </c>
      <c r="B178" s="12" t="s">
        <v>118</v>
      </c>
      <c r="C178" s="12">
        <f t="shared" si="1"/>
        <v>0</v>
      </c>
      <c r="D178" s="12" t="s">
        <v>370</v>
      </c>
      <c r="E178" s="13">
        <v>59.738063999999994</v>
      </c>
      <c r="F178" s="14">
        <v>-4</v>
      </c>
      <c r="G178" s="317"/>
      <c r="H178" s="317"/>
      <c r="I178" s="317" t="s">
        <v>371</v>
      </c>
      <c r="J178" s="317" t="s">
        <v>372</v>
      </c>
    </row>
    <row r="179" spans="1:10" ht="15" x14ac:dyDescent="0.25">
      <c r="A179" s="317">
        <v>61</v>
      </c>
      <c r="B179" s="12" t="s">
        <v>118</v>
      </c>
      <c r="C179" s="12">
        <f t="shared" si="1"/>
        <v>0</v>
      </c>
      <c r="D179" s="12" t="s">
        <v>373</v>
      </c>
      <c r="E179" s="13">
        <v>77.026559999999989</v>
      </c>
      <c r="F179" s="14">
        <v>-10</v>
      </c>
      <c r="G179" s="317"/>
      <c r="H179" s="317"/>
      <c r="I179" s="317" t="s">
        <v>371</v>
      </c>
      <c r="J179" s="317" t="s">
        <v>372</v>
      </c>
    </row>
    <row r="180" spans="1:10" ht="15" x14ac:dyDescent="0.25">
      <c r="A180" s="317">
        <v>62</v>
      </c>
      <c r="B180" s="12" t="s">
        <v>118</v>
      </c>
      <c r="C180" s="12">
        <f t="shared" si="1"/>
        <v>0</v>
      </c>
      <c r="D180" s="12" t="s">
        <v>374</v>
      </c>
      <c r="E180" s="13">
        <v>62.784408000000013</v>
      </c>
      <c r="F180" s="14">
        <v>-6</v>
      </c>
      <c r="G180" s="317"/>
      <c r="H180" s="317"/>
      <c r="I180" s="317" t="s">
        <v>371</v>
      </c>
      <c r="J180" s="317" t="s">
        <v>372</v>
      </c>
    </row>
    <row r="181" spans="1:10" ht="15" x14ac:dyDescent="0.25">
      <c r="A181" s="317">
        <v>63</v>
      </c>
      <c r="B181" s="12" t="s">
        <v>118</v>
      </c>
      <c r="C181" s="12">
        <f t="shared" si="1"/>
        <v>0</v>
      </c>
      <c r="D181" s="12" t="s">
        <v>375</v>
      </c>
      <c r="E181" s="13">
        <v>66.531672000000015</v>
      </c>
      <c r="F181" s="14">
        <v>-9</v>
      </c>
      <c r="G181" s="317"/>
      <c r="H181" s="317"/>
      <c r="I181" s="317" t="s">
        <v>371</v>
      </c>
      <c r="J181" s="317" t="s">
        <v>372</v>
      </c>
    </row>
    <row r="182" spans="1:10" ht="15" x14ac:dyDescent="0.25">
      <c r="A182" s="317">
        <v>64</v>
      </c>
      <c r="B182" s="12" t="s">
        <v>121</v>
      </c>
      <c r="C182" s="12">
        <f t="shared" si="1"/>
        <v>0</v>
      </c>
      <c r="D182" s="12" t="s">
        <v>376</v>
      </c>
      <c r="E182" s="13">
        <v>46.086191999999997</v>
      </c>
      <c r="F182" s="14">
        <v>9</v>
      </c>
      <c r="G182" s="317"/>
      <c r="H182" s="317"/>
      <c r="I182" s="317" t="s">
        <v>377</v>
      </c>
      <c r="J182" s="317" t="s">
        <v>378</v>
      </c>
    </row>
    <row r="183" spans="1:10" ht="15" x14ac:dyDescent="0.25">
      <c r="A183" s="317">
        <v>65</v>
      </c>
      <c r="B183" s="12" t="s">
        <v>121</v>
      </c>
      <c r="C183" s="12">
        <f t="shared" ref="C183:C246" si="2">IF(B183=activestate,IF(B183=activestate,C182+1,1),0)</f>
        <v>0</v>
      </c>
      <c r="D183" s="12" t="s">
        <v>379</v>
      </c>
      <c r="E183" s="13">
        <v>57.145296000000002</v>
      </c>
      <c r="F183" s="14">
        <v>0</v>
      </c>
      <c r="G183" s="317"/>
      <c r="H183" s="317"/>
      <c r="I183" s="317" t="s">
        <v>377</v>
      </c>
      <c r="J183" s="317" t="s">
        <v>378</v>
      </c>
    </row>
    <row r="184" spans="1:10" ht="15" x14ac:dyDescent="0.25">
      <c r="A184" s="317">
        <v>66</v>
      </c>
      <c r="B184" s="12" t="s">
        <v>123</v>
      </c>
      <c r="C184" s="12">
        <f t="shared" si="2"/>
        <v>0</v>
      </c>
      <c r="D184" s="12" t="s">
        <v>380</v>
      </c>
      <c r="E184" s="13">
        <v>59.997504000000006</v>
      </c>
      <c r="F184" s="14">
        <v>1</v>
      </c>
      <c r="G184" s="317"/>
      <c r="H184" s="317"/>
      <c r="I184" s="317" t="s">
        <v>381</v>
      </c>
      <c r="J184" s="317" t="s">
        <v>382</v>
      </c>
    </row>
    <row r="185" spans="1:10" ht="15" x14ac:dyDescent="0.25">
      <c r="A185" s="317">
        <v>67</v>
      </c>
      <c r="B185" s="12" t="s">
        <v>123</v>
      </c>
      <c r="C185" s="12">
        <f t="shared" si="2"/>
        <v>0</v>
      </c>
      <c r="D185" s="12" t="s">
        <v>383</v>
      </c>
      <c r="E185" s="13">
        <v>58.896287999999998</v>
      </c>
      <c r="F185" s="14">
        <v>-3</v>
      </c>
      <c r="G185" s="317"/>
      <c r="H185" s="317"/>
      <c r="I185" s="317" t="s">
        <v>371</v>
      </c>
      <c r="J185" s="317" t="s">
        <v>372</v>
      </c>
    </row>
    <row r="186" spans="1:10" ht="15" x14ac:dyDescent="0.25">
      <c r="A186" s="317">
        <v>68</v>
      </c>
      <c r="B186" s="12" t="s">
        <v>123</v>
      </c>
      <c r="C186" s="12">
        <f t="shared" si="2"/>
        <v>0</v>
      </c>
      <c r="D186" s="12" t="s">
        <v>384</v>
      </c>
      <c r="E186" s="13">
        <v>57.961920000000006</v>
      </c>
      <c r="F186" s="14">
        <v>-1</v>
      </c>
      <c r="G186" s="317"/>
      <c r="H186" s="317"/>
      <c r="I186" s="317" t="s">
        <v>385</v>
      </c>
      <c r="J186" s="317" t="s">
        <v>386</v>
      </c>
    </row>
    <row r="187" spans="1:10" ht="15" x14ac:dyDescent="0.25">
      <c r="A187" s="317">
        <v>69</v>
      </c>
      <c r="B187" s="12" t="s">
        <v>123</v>
      </c>
      <c r="C187" s="12">
        <f t="shared" si="2"/>
        <v>0</v>
      </c>
      <c r="D187" s="12" t="s">
        <v>387</v>
      </c>
      <c r="E187" s="13">
        <v>62.672903999999996</v>
      </c>
      <c r="F187" s="14">
        <v>-4</v>
      </c>
      <c r="G187" s="317"/>
      <c r="H187" s="317"/>
      <c r="I187" s="317" t="s">
        <v>381</v>
      </c>
      <c r="J187" s="317" t="s">
        <v>382</v>
      </c>
    </row>
    <row r="188" spans="1:10" ht="15" x14ac:dyDescent="0.25">
      <c r="A188" s="317">
        <v>70</v>
      </c>
      <c r="B188" s="12" t="s">
        <v>123</v>
      </c>
      <c r="C188" s="12">
        <f t="shared" si="2"/>
        <v>0</v>
      </c>
      <c r="D188" s="12" t="s">
        <v>388</v>
      </c>
      <c r="E188" s="13">
        <v>55.854239999999997</v>
      </c>
      <c r="F188" s="14">
        <v>2</v>
      </c>
      <c r="G188" s="317"/>
      <c r="H188" s="317"/>
      <c r="I188" s="317" t="s">
        <v>385</v>
      </c>
      <c r="J188" s="317" t="s">
        <v>386</v>
      </c>
    </row>
    <row r="189" spans="1:10" ht="15" x14ac:dyDescent="0.25">
      <c r="A189" s="317">
        <v>71</v>
      </c>
      <c r="B189" s="12" t="s">
        <v>126</v>
      </c>
      <c r="C189" s="12">
        <f t="shared" si="2"/>
        <v>0</v>
      </c>
      <c r="D189" s="12" t="s">
        <v>389</v>
      </c>
      <c r="E189" s="13">
        <v>46.528464</v>
      </c>
      <c r="F189" s="14">
        <v>9</v>
      </c>
      <c r="G189" s="317"/>
      <c r="H189" s="317"/>
      <c r="I189" s="317" t="s">
        <v>381</v>
      </c>
      <c r="J189" s="317" t="s">
        <v>382</v>
      </c>
    </row>
    <row r="190" spans="1:10" ht="15" x14ac:dyDescent="0.25">
      <c r="A190" s="317">
        <v>72</v>
      </c>
      <c r="B190" s="12" t="s">
        <v>126</v>
      </c>
      <c r="C190" s="12">
        <f t="shared" si="2"/>
        <v>0</v>
      </c>
      <c r="D190" s="12" t="s">
        <v>390</v>
      </c>
      <c r="E190" s="13">
        <v>57.395927999999998</v>
      </c>
      <c r="F190" s="14">
        <v>2</v>
      </c>
      <c r="G190" s="317"/>
      <c r="H190" s="317"/>
      <c r="I190" s="317" t="s">
        <v>381</v>
      </c>
      <c r="J190" s="317" t="s">
        <v>382</v>
      </c>
    </row>
    <row r="191" spans="1:10" ht="15" x14ac:dyDescent="0.25">
      <c r="A191" s="317">
        <v>73</v>
      </c>
      <c r="B191" s="12" t="s">
        <v>126</v>
      </c>
      <c r="C191" s="12">
        <f t="shared" si="2"/>
        <v>0</v>
      </c>
      <c r="D191" s="12" t="s">
        <v>391</v>
      </c>
      <c r="E191" s="13">
        <v>50.910743999999994</v>
      </c>
      <c r="F191" s="14">
        <v>3</v>
      </c>
      <c r="G191" s="317"/>
      <c r="H191" s="317"/>
      <c r="I191" s="317" t="s">
        <v>381</v>
      </c>
      <c r="J191" s="317" t="s">
        <v>382</v>
      </c>
    </row>
    <row r="192" spans="1:10" ht="15" x14ac:dyDescent="0.25">
      <c r="A192" s="317">
        <v>74</v>
      </c>
      <c r="B192" s="12" t="s">
        <v>128</v>
      </c>
      <c r="C192" s="12">
        <f t="shared" si="2"/>
        <v>0</v>
      </c>
      <c r="D192" s="12" t="s">
        <v>392</v>
      </c>
      <c r="E192" s="13">
        <v>50.542872000000003</v>
      </c>
      <c r="F192" s="14">
        <v>6</v>
      </c>
      <c r="G192" s="317"/>
      <c r="H192" s="317"/>
      <c r="I192" s="317" t="s">
        <v>393</v>
      </c>
      <c r="J192" s="317" t="s">
        <v>394</v>
      </c>
    </row>
    <row r="193" spans="1:10" ht="15" x14ac:dyDescent="0.25">
      <c r="A193" s="317">
        <v>75</v>
      </c>
      <c r="B193" s="12" t="s">
        <v>128</v>
      </c>
      <c r="C193" s="12">
        <f t="shared" si="2"/>
        <v>0</v>
      </c>
      <c r="D193" s="12" t="s">
        <v>395</v>
      </c>
      <c r="E193" s="13">
        <v>55.819535999999999</v>
      </c>
      <c r="F193" s="14">
        <v>2</v>
      </c>
      <c r="G193" s="317"/>
      <c r="H193" s="317"/>
      <c r="I193" s="317" t="s">
        <v>393</v>
      </c>
      <c r="J193" s="317" t="s">
        <v>394</v>
      </c>
    </row>
    <row r="194" spans="1:10" ht="15" x14ac:dyDescent="0.25">
      <c r="A194" s="317">
        <v>76</v>
      </c>
      <c r="B194" s="12" t="s">
        <v>128</v>
      </c>
      <c r="C194" s="12">
        <f t="shared" si="2"/>
        <v>0</v>
      </c>
      <c r="D194" s="12" t="s">
        <v>396</v>
      </c>
      <c r="E194" s="13">
        <v>52.701768000000001</v>
      </c>
      <c r="F194" s="14">
        <v>4</v>
      </c>
      <c r="G194" s="317"/>
      <c r="H194" s="317"/>
      <c r="I194" s="317" t="s">
        <v>393</v>
      </c>
      <c r="J194" s="317" t="s">
        <v>394</v>
      </c>
    </row>
    <row r="195" spans="1:10" ht="15" x14ac:dyDescent="0.25">
      <c r="A195" s="317">
        <v>77</v>
      </c>
      <c r="B195" s="12" t="s">
        <v>128</v>
      </c>
      <c r="C195" s="12">
        <f t="shared" si="2"/>
        <v>0</v>
      </c>
      <c r="D195" s="12" t="s">
        <v>397</v>
      </c>
      <c r="E195" s="13">
        <v>48.720312000000007</v>
      </c>
      <c r="F195" s="14">
        <v>9</v>
      </c>
      <c r="G195" s="317"/>
      <c r="H195" s="317"/>
      <c r="I195" s="317" t="s">
        <v>393</v>
      </c>
      <c r="J195" s="317" t="s">
        <v>394</v>
      </c>
    </row>
    <row r="196" spans="1:10" ht="15" x14ac:dyDescent="0.25">
      <c r="A196" s="317">
        <v>78</v>
      </c>
      <c r="B196" s="12" t="s">
        <v>130</v>
      </c>
      <c r="C196" s="12">
        <f t="shared" si="2"/>
        <v>0</v>
      </c>
      <c r="D196" s="12" t="s">
        <v>398</v>
      </c>
      <c r="E196" s="13">
        <v>53.051639999999999</v>
      </c>
      <c r="F196" s="14">
        <v>7</v>
      </c>
      <c r="G196" s="317"/>
      <c r="H196" s="317"/>
      <c r="I196" s="317" t="s">
        <v>308</v>
      </c>
      <c r="J196" s="317" t="s">
        <v>309</v>
      </c>
    </row>
    <row r="197" spans="1:10" ht="15" x14ac:dyDescent="0.25">
      <c r="A197" s="317">
        <v>79</v>
      </c>
      <c r="B197" s="12" t="s">
        <v>130</v>
      </c>
      <c r="C197" s="12">
        <f t="shared" si="2"/>
        <v>0</v>
      </c>
      <c r="D197" s="12" t="s">
        <v>399</v>
      </c>
      <c r="E197" s="13">
        <v>49.946567999999999</v>
      </c>
      <c r="F197" s="14">
        <v>10</v>
      </c>
      <c r="G197" s="317"/>
      <c r="H197" s="317"/>
      <c r="I197" s="317" t="s">
        <v>308</v>
      </c>
      <c r="J197" s="317" t="s">
        <v>309</v>
      </c>
    </row>
    <row r="198" spans="1:10" ht="15" x14ac:dyDescent="0.25">
      <c r="A198" s="317">
        <v>80</v>
      </c>
      <c r="B198" s="12" t="s">
        <v>130</v>
      </c>
      <c r="C198" s="12">
        <f t="shared" si="2"/>
        <v>0</v>
      </c>
      <c r="D198" s="12" t="s">
        <v>400</v>
      </c>
      <c r="E198" s="13">
        <v>43.182935999999998</v>
      </c>
      <c r="F198" s="14">
        <v>12</v>
      </c>
      <c r="G198" s="317"/>
      <c r="H198" s="317"/>
      <c r="I198" s="317" t="s">
        <v>308</v>
      </c>
      <c r="J198" s="317" t="s">
        <v>309</v>
      </c>
    </row>
    <row r="199" spans="1:10" ht="15" x14ac:dyDescent="0.25">
      <c r="A199" s="317">
        <v>81</v>
      </c>
      <c r="B199" s="12" t="s">
        <v>132</v>
      </c>
      <c r="C199" s="12">
        <f t="shared" si="2"/>
        <v>0</v>
      </c>
      <c r="D199" s="12" t="s">
        <v>401</v>
      </c>
      <c r="E199" s="13">
        <v>20.404727999999999</v>
      </c>
      <c r="F199" s="14">
        <v>30</v>
      </c>
      <c r="G199" s="317"/>
      <c r="H199" s="317"/>
      <c r="I199" s="317" t="s">
        <v>313</v>
      </c>
      <c r="J199" s="317" t="s">
        <v>314</v>
      </c>
    </row>
    <row r="200" spans="1:10" ht="15" x14ac:dyDescent="0.25">
      <c r="A200" s="317">
        <v>82</v>
      </c>
      <c r="B200" s="12" t="s">
        <v>132</v>
      </c>
      <c r="C200" s="12">
        <f t="shared" si="2"/>
        <v>0</v>
      </c>
      <c r="D200" s="12" t="s">
        <v>402</v>
      </c>
      <c r="E200" s="13">
        <v>22.615511999999995</v>
      </c>
      <c r="F200" s="14">
        <v>32</v>
      </c>
      <c r="G200" s="317"/>
      <c r="H200" s="317"/>
      <c r="I200" s="317" t="s">
        <v>313</v>
      </c>
      <c r="J200" s="317" t="s">
        <v>314</v>
      </c>
    </row>
    <row r="201" spans="1:10" x14ac:dyDescent="0.2">
      <c r="A201" s="317">
        <v>83</v>
      </c>
      <c r="B201" s="12" t="s">
        <v>132</v>
      </c>
      <c r="C201" s="12">
        <f t="shared" si="2"/>
        <v>0</v>
      </c>
      <c r="D201" s="12" t="s">
        <v>403</v>
      </c>
      <c r="E201" s="13">
        <v>18.251856</v>
      </c>
      <c r="F201" s="373">
        <v>36.5</v>
      </c>
      <c r="G201" s="317"/>
      <c r="H201" s="317"/>
      <c r="I201" s="317" t="s">
        <v>313</v>
      </c>
      <c r="J201" s="317" t="s">
        <v>314</v>
      </c>
    </row>
    <row r="202" spans="1:10" ht="15" x14ac:dyDescent="0.25">
      <c r="A202" s="317">
        <v>84</v>
      </c>
      <c r="B202" s="12" t="s">
        <v>132</v>
      </c>
      <c r="C202" s="12">
        <f t="shared" si="2"/>
        <v>0</v>
      </c>
      <c r="D202" s="12" t="s">
        <v>404</v>
      </c>
      <c r="E202" s="13">
        <v>26.419920000000005</v>
      </c>
      <c r="F202" s="14">
        <v>26</v>
      </c>
      <c r="G202" s="317"/>
      <c r="H202" s="317"/>
      <c r="I202" s="317" t="s">
        <v>405</v>
      </c>
      <c r="J202" s="317" t="s">
        <v>406</v>
      </c>
    </row>
    <row r="203" spans="1:10" ht="15" x14ac:dyDescent="0.25">
      <c r="A203" s="317">
        <v>85</v>
      </c>
      <c r="B203" s="12" t="s">
        <v>134</v>
      </c>
      <c r="C203" s="12">
        <f t="shared" si="2"/>
        <v>0</v>
      </c>
      <c r="D203" s="12" t="s">
        <v>407</v>
      </c>
      <c r="E203" s="13">
        <v>52.874903999999994</v>
      </c>
      <c r="F203" s="14">
        <v>12</v>
      </c>
      <c r="G203" s="317"/>
      <c r="H203" s="317"/>
      <c r="I203" s="317" t="s">
        <v>341</v>
      </c>
      <c r="J203" s="317" t="s">
        <v>342</v>
      </c>
    </row>
    <row r="204" spans="1:10" ht="15" x14ac:dyDescent="0.25">
      <c r="A204" s="317">
        <v>86</v>
      </c>
      <c r="B204" s="12" t="s">
        <v>134</v>
      </c>
      <c r="C204" s="12">
        <f t="shared" si="2"/>
        <v>0</v>
      </c>
      <c r="D204" s="12" t="s">
        <v>408</v>
      </c>
      <c r="E204" s="13">
        <v>58.759152000000007</v>
      </c>
      <c r="F204" s="14">
        <v>5</v>
      </c>
      <c r="G204" s="317"/>
      <c r="H204" s="317"/>
      <c r="I204" s="317" t="s">
        <v>341</v>
      </c>
      <c r="J204" s="317" t="s">
        <v>342</v>
      </c>
    </row>
    <row r="205" spans="1:10" ht="15" x14ac:dyDescent="0.25">
      <c r="A205" s="317">
        <v>87</v>
      </c>
      <c r="B205" s="12" t="s">
        <v>136</v>
      </c>
      <c r="C205" s="12">
        <f t="shared" si="2"/>
        <v>0</v>
      </c>
      <c r="D205" s="12" t="s">
        <v>409</v>
      </c>
      <c r="E205" s="13">
        <v>45.549647999999998</v>
      </c>
      <c r="F205" s="14">
        <v>15</v>
      </c>
      <c r="G205" s="317"/>
      <c r="H205" s="317"/>
      <c r="I205" s="317" t="s">
        <v>344</v>
      </c>
      <c r="J205" s="317" t="s">
        <v>345</v>
      </c>
    </row>
    <row r="206" spans="1:10" ht="15" x14ac:dyDescent="0.25">
      <c r="A206" s="317">
        <v>88</v>
      </c>
      <c r="B206" s="12" t="s">
        <v>138</v>
      </c>
      <c r="C206" s="12">
        <f t="shared" si="2"/>
        <v>0</v>
      </c>
      <c r="D206" s="12" t="s">
        <v>410</v>
      </c>
      <c r="E206" s="13">
        <v>82.709711999999996</v>
      </c>
      <c r="F206" s="14">
        <v>-10</v>
      </c>
      <c r="G206" s="317"/>
      <c r="H206" s="317"/>
      <c r="I206" s="317" t="s">
        <v>341</v>
      </c>
      <c r="J206" s="317" t="s">
        <v>342</v>
      </c>
    </row>
    <row r="207" spans="1:10" ht="15" x14ac:dyDescent="0.25">
      <c r="A207" s="317">
        <v>89</v>
      </c>
      <c r="B207" s="12" t="s">
        <v>138</v>
      </c>
      <c r="C207" s="12">
        <f t="shared" si="2"/>
        <v>0</v>
      </c>
      <c r="D207" s="12" t="s">
        <v>411</v>
      </c>
      <c r="E207" s="13">
        <v>61.914263999999996</v>
      </c>
      <c r="F207" s="14">
        <v>2</v>
      </c>
      <c r="G207" s="317"/>
      <c r="H207" s="317"/>
      <c r="I207" s="317" t="s">
        <v>341</v>
      </c>
      <c r="J207" s="317" t="s">
        <v>342</v>
      </c>
    </row>
    <row r="208" spans="1:10" ht="15" x14ac:dyDescent="0.25">
      <c r="A208" s="317">
        <v>90</v>
      </c>
      <c r="B208" s="12" t="s">
        <v>140</v>
      </c>
      <c r="C208" s="12">
        <f t="shared" si="2"/>
        <v>0</v>
      </c>
      <c r="D208" s="12" t="s">
        <v>412</v>
      </c>
      <c r="E208" s="13">
        <v>72.614976000000013</v>
      </c>
      <c r="F208" s="14">
        <v>-1</v>
      </c>
      <c r="G208" s="317"/>
      <c r="H208" s="317"/>
      <c r="I208" s="317" t="s">
        <v>413</v>
      </c>
      <c r="J208" s="317" t="s">
        <v>414</v>
      </c>
    </row>
    <row r="209" spans="1:10" ht="15" x14ac:dyDescent="0.25">
      <c r="A209" s="317">
        <v>91</v>
      </c>
      <c r="B209" s="12" t="s">
        <v>140</v>
      </c>
      <c r="C209" s="12">
        <f t="shared" si="2"/>
        <v>0</v>
      </c>
      <c r="D209" s="12" t="s">
        <v>415</v>
      </c>
      <c r="E209" s="13">
        <v>59.892983999999998</v>
      </c>
      <c r="F209" s="14">
        <v>5</v>
      </c>
      <c r="G209" s="317"/>
      <c r="H209" s="317"/>
      <c r="I209" s="317" t="s">
        <v>413</v>
      </c>
      <c r="J209" s="317" t="s">
        <v>414</v>
      </c>
    </row>
    <row r="210" spans="1:10" ht="15" x14ac:dyDescent="0.25">
      <c r="A210" s="317">
        <v>92</v>
      </c>
      <c r="B210" s="12" t="s">
        <v>140</v>
      </c>
      <c r="C210" s="12">
        <f t="shared" si="2"/>
        <v>0</v>
      </c>
      <c r="D210" s="12" t="s">
        <v>416</v>
      </c>
      <c r="E210" s="13">
        <v>63.521711999999987</v>
      </c>
      <c r="F210" s="14">
        <v>3</v>
      </c>
      <c r="G210" s="317"/>
      <c r="H210" s="317"/>
      <c r="I210" s="317" t="s">
        <v>413</v>
      </c>
      <c r="J210" s="317" t="s">
        <v>414</v>
      </c>
    </row>
    <row r="211" spans="1:10" ht="15" x14ac:dyDescent="0.25">
      <c r="A211" s="317">
        <v>93</v>
      </c>
      <c r="B211" s="12" t="s">
        <v>140</v>
      </c>
      <c r="C211" s="12">
        <f t="shared" si="2"/>
        <v>0</v>
      </c>
      <c r="D211" s="12" t="s">
        <v>417</v>
      </c>
      <c r="E211" s="13">
        <v>64.766831999999994</v>
      </c>
      <c r="F211" s="14">
        <v>5</v>
      </c>
      <c r="G211" s="317"/>
      <c r="H211" s="317"/>
      <c r="I211" s="317" t="s">
        <v>413</v>
      </c>
      <c r="J211" s="317" t="s">
        <v>414</v>
      </c>
    </row>
    <row r="212" spans="1:10" ht="15" x14ac:dyDescent="0.25">
      <c r="A212" s="317">
        <v>94</v>
      </c>
      <c r="B212" s="12" t="s">
        <v>140</v>
      </c>
      <c r="C212" s="12">
        <f t="shared" si="2"/>
        <v>0</v>
      </c>
      <c r="D212" s="12" t="s">
        <v>418</v>
      </c>
      <c r="E212" s="13">
        <v>64.708631999999994</v>
      </c>
      <c r="F212" s="14">
        <v>2</v>
      </c>
      <c r="G212" s="317"/>
      <c r="H212" s="317"/>
      <c r="I212" s="317" t="s">
        <v>413</v>
      </c>
      <c r="J212" s="317" t="s">
        <v>414</v>
      </c>
    </row>
    <row r="213" spans="1:10" ht="15" x14ac:dyDescent="0.25">
      <c r="A213" s="317">
        <v>95</v>
      </c>
      <c r="B213" s="12" t="s">
        <v>140</v>
      </c>
      <c r="C213" s="12">
        <f t="shared" si="2"/>
        <v>0</v>
      </c>
      <c r="D213" s="12" t="s">
        <v>419</v>
      </c>
      <c r="E213" s="13">
        <v>65.559287999999995</v>
      </c>
      <c r="F213" s="14">
        <v>7</v>
      </c>
      <c r="G213" s="317"/>
      <c r="H213" s="317"/>
      <c r="I213" s="317" t="s">
        <v>413</v>
      </c>
      <c r="J213" s="317" t="s">
        <v>414</v>
      </c>
    </row>
    <row r="214" spans="1:10" ht="15" x14ac:dyDescent="0.25">
      <c r="A214" s="317">
        <v>96</v>
      </c>
      <c r="B214" s="12" t="s">
        <v>140</v>
      </c>
      <c r="C214" s="12">
        <f t="shared" si="2"/>
        <v>0</v>
      </c>
      <c r="D214" s="12" t="s">
        <v>420</v>
      </c>
      <c r="E214" s="13">
        <v>77.073288000000019</v>
      </c>
      <c r="F214" s="14">
        <v>-7</v>
      </c>
      <c r="G214" s="317"/>
      <c r="H214" s="317"/>
      <c r="I214" s="317" t="s">
        <v>381</v>
      </c>
      <c r="J214" s="317" t="s">
        <v>382</v>
      </c>
    </row>
    <row r="215" spans="1:10" ht="15" x14ac:dyDescent="0.25">
      <c r="A215" s="317">
        <v>97</v>
      </c>
      <c r="B215" s="12" t="s">
        <v>140</v>
      </c>
      <c r="C215" s="12">
        <f t="shared" si="2"/>
        <v>0</v>
      </c>
      <c r="D215" s="12" t="s">
        <v>421</v>
      </c>
      <c r="E215" s="13">
        <v>69.983136000000002</v>
      </c>
      <c r="F215" s="14">
        <v>2</v>
      </c>
      <c r="G215" s="317"/>
      <c r="H215" s="317"/>
      <c r="I215" s="317" t="s">
        <v>413</v>
      </c>
      <c r="J215" s="317" t="s">
        <v>414</v>
      </c>
    </row>
    <row r="216" spans="1:10" ht="15" x14ac:dyDescent="0.25">
      <c r="A216" s="317">
        <v>98</v>
      </c>
      <c r="B216" s="12" t="s">
        <v>142</v>
      </c>
      <c r="C216" s="12">
        <f t="shared" si="2"/>
        <v>0</v>
      </c>
      <c r="D216" s="12" t="s">
        <v>422</v>
      </c>
      <c r="E216" s="13">
        <v>89.604407999999992</v>
      </c>
      <c r="F216" s="14">
        <v>-16</v>
      </c>
      <c r="G216" s="317"/>
      <c r="H216" s="317"/>
      <c r="I216" s="317" t="s">
        <v>371</v>
      </c>
      <c r="J216" s="317" t="s">
        <v>372</v>
      </c>
    </row>
    <row r="217" spans="1:10" ht="15" x14ac:dyDescent="0.25">
      <c r="A217" s="317">
        <v>99</v>
      </c>
      <c r="B217" s="12" t="s">
        <v>142</v>
      </c>
      <c r="C217" s="12">
        <f t="shared" si="2"/>
        <v>0</v>
      </c>
      <c r="D217" s="12" t="s">
        <v>423</v>
      </c>
      <c r="E217" s="13">
        <v>92.407079999999993</v>
      </c>
      <c r="F217" s="14">
        <v>-23</v>
      </c>
      <c r="G217" s="317"/>
      <c r="H217" s="317"/>
      <c r="I217" s="317" t="s">
        <v>371</v>
      </c>
      <c r="J217" s="317" t="s">
        <v>372</v>
      </c>
    </row>
    <row r="218" spans="1:10" ht="15" x14ac:dyDescent="0.25">
      <c r="A218" s="317">
        <v>100</v>
      </c>
      <c r="B218" s="12" t="s">
        <v>142</v>
      </c>
      <c r="C218" s="12">
        <f t="shared" si="2"/>
        <v>0</v>
      </c>
      <c r="D218" s="12" t="s">
        <v>424</v>
      </c>
      <c r="E218" s="13">
        <v>72.719279999999998</v>
      </c>
      <c r="F218" s="14">
        <v>-11</v>
      </c>
      <c r="G218" s="317"/>
      <c r="H218" s="317"/>
      <c r="I218" s="317" t="s">
        <v>371</v>
      </c>
      <c r="J218" s="317" t="s">
        <v>372</v>
      </c>
    </row>
    <row r="219" spans="1:10" ht="15" x14ac:dyDescent="0.25">
      <c r="A219" s="317">
        <v>101</v>
      </c>
      <c r="B219" s="12" t="s">
        <v>142</v>
      </c>
      <c r="C219" s="12">
        <f t="shared" si="2"/>
        <v>0</v>
      </c>
      <c r="D219" s="12" t="s">
        <v>425</v>
      </c>
      <c r="E219" s="13">
        <v>77.707344000000006</v>
      </c>
      <c r="F219" s="14">
        <v>-12</v>
      </c>
      <c r="G219" s="317"/>
      <c r="H219" s="317"/>
      <c r="I219" s="317" t="s">
        <v>371</v>
      </c>
      <c r="J219" s="317" t="s">
        <v>372</v>
      </c>
    </row>
    <row r="220" spans="1:10" ht="15" x14ac:dyDescent="0.25">
      <c r="A220" s="317">
        <v>102</v>
      </c>
      <c r="B220" s="12" t="s">
        <v>142</v>
      </c>
      <c r="C220" s="12">
        <f t="shared" si="2"/>
        <v>0</v>
      </c>
      <c r="D220" s="12" t="s">
        <v>426</v>
      </c>
      <c r="E220" s="13">
        <v>79.478759999999994</v>
      </c>
      <c r="F220" s="14">
        <v>-14</v>
      </c>
      <c r="G220" s="317"/>
      <c r="H220" s="317"/>
      <c r="I220" s="317" t="s">
        <v>371</v>
      </c>
      <c r="J220" s="317" t="s">
        <v>372</v>
      </c>
    </row>
    <row r="221" spans="1:10" ht="15" x14ac:dyDescent="0.25">
      <c r="A221" s="317">
        <v>103</v>
      </c>
      <c r="B221" s="12" t="s">
        <v>144</v>
      </c>
      <c r="C221" s="12">
        <f t="shared" si="2"/>
        <v>0</v>
      </c>
      <c r="D221" s="12" t="s">
        <v>427</v>
      </c>
      <c r="E221" s="13">
        <v>52.221552000000003</v>
      </c>
      <c r="F221" s="14">
        <v>5</v>
      </c>
      <c r="G221" s="317"/>
      <c r="H221" s="317"/>
      <c r="I221" s="317" t="s">
        <v>385</v>
      </c>
      <c r="J221" s="317" t="s">
        <v>386</v>
      </c>
    </row>
    <row r="222" spans="1:10" ht="15" x14ac:dyDescent="0.25">
      <c r="A222" s="317">
        <v>104</v>
      </c>
      <c r="B222" s="12" t="s">
        <v>144</v>
      </c>
      <c r="C222" s="12">
        <f t="shared" si="2"/>
        <v>0</v>
      </c>
      <c r="D222" s="12" t="s">
        <v>428</v>
      </c>
      <c r="E222" s="13">
        <v>51.011231999999993</v>
      </c>
      <c r="F222" s="14">
        <v>4</v>
      </c>
      <c r="G222" s="317"/>
      <c r="H222" s="317"/>
      <c r="I222" s="317" t="s">
        <v>393</v>
      </c>
      <c r="J222" s="317" t="s">
        <v>394</v>
      </c>
    </row>
    <row r="223" spans="1:10" ht="15" x14ac:dyDescent="0.25">
      <c r="A223" s="317">
        <v>105</v>
      </c>
      <c r="B223" s="12" t="s">
        <v>144</v>
      </c>
      <c r="C223" s="12">
        <f t="shared" si="2"/>
        <v>0</v>
      </c>
      <c r="D223" s="12" t="s">
        <v>388</v>
      </c>
      <c r="E223" s="13">
        <v>45.755136</v>
      </c>
      <c r="F223" s="14">
        <v>9</v>
      </c>
      <c r="G223" s="317"/>
      <c r="H223" s="317"/>
      <c r="I223" s="317" t="s">
        <v>385</v>
      </c>
      <c r="J223" s="317" t="s">
        <v>386</v>
      </c>
    </row>
    <row r="224" spans="1:10" ht="15" x14ac:dyDescent="0.25">
      <c r="A224" s="317">
        <v>106</v>
      </c>
      <c r="B224" s="12" t="s">
        <v>144</v>
      </c>
      <c r="C224" s="12">
        <f t="shared" si="2"/>
        <v>0</v>
      </c>
      <c r="D224" s="12" t="s">
        <v>429</v>
      </c>
      <c r="E224" s="13">
        <v>51.243287999999993</v>
      </c>
      <c r="F224" s="14">
        <v>8</v>
      </c>
      <c r="G224" s="317"/>
      <c r="H224" s="317"/>
      <c r="I224" s="317" t="s">
        <v>385</v>
      </c>
      <c r="J224" s="317" t="s">
        <v>386</v>
      </c>
    </row>
    <row r="225" spans="1:10" ht="15" x14ac:dyDescent="0.25">
      <c r="A225" s="317">
        <v>107</v>
      </c>
      <c r="B225" s="12" t="s">
        <v>146</v>
      </c>
      <c r="C225" s="12">
        <f t="shared" si="2"/>
        <v>0</v>
      </c>
      <c r="D225" s="12" t="s">
        <v>430</v>
      </c>
      <c r="E225" s="13">
        <v>28.009152000000007</v>
      </c>
      <c r="F225" s="14">
        <v>25</v>
      </c>
      <c r="G225" s="317"/>
      <c r="H225" s="317"/>
      <c r="I225" s="317" t="s">
        <v>313</v>
      </c>
      <c r="J225" s="317" t="s">
        <v>314</v>
      </c>
    </row>
    <row r="226" spans="1:10" ht="15" x14ac:dyDescent="0.25">
      <c r="A226" s="317">
        <v>108</v>
      </c>
      <c r="B226" s="12" t="s">
        <v>146</v>
      </c>
      <c r="C226" s="12">
        <f t="shared" si="2"/>
        <v>0</v>
      </c>
      <c r="D226" s="12" t="s">
        <v>431</v>
      </c>
      <c r="E226" s="13">
        <v>26.646048</v>
      </c>
      <c r="F226" s="14">
        <v>25</v>
      </c>
      <c r="G226" s="317"/>
      <c r="H226" s="317"/>
      <c r="I226" s="317" t="s">
        <v>308</v>
      </c>
      <c r="J226" s="317" t="s">
        <v>309</v>
      </c>
    </row>
    <row r="227" spans="1:10" ht="15" x14ac:dyDescent="0.25">
      <c r="A227" s="317">
        <v>109</v>
      </c>
      <c r="B227" s="12" t="s">
        <v>148</v>
      </c>
      <c r="C227" s="12">
        <f t="shared" si="2"/>
        <v>0</v>
      </c>
      <c r="D227" s="12" t="s">
        <v>432</v>
      </c>
      <c r="E227" s="13">
        <v>60.364007999999998</v>
      </c>
      <c r="F227" s="14">
        <v>-7</v>
      </c>
      <c r="G227" s="317"/>
      <c r="H227" s="317"/>
      <c r="I227" s="317" t="s">
        <v>377</v>
      </c>
      <c r="J227" s="317" t="s">
        <v>378</v>
      </c>
    </row>
    <row r="228" spans="1:10" ht="15" x14ac:dyDescent="0.25">
      <c r="A228" s="317">
        <v>110</v>
      </c>
      <c r="B228" s="12" t="s">
        <v>148</v>
      </c>
      <c r="C228" s="12">
        <f t="shared" si="2"/>
        <v>0</v>
      </c>
      <c r="D228" s="12" t="s">
        <v>433</v>
      </c>
      <c r="E228" s="13">
        <v>68.615279999999998</v>
      </c>
      <c r="F228" s="14">
        <v>-16</v>
      </c>
      <c r="G228" s="317"/>
      <c r="H228" s="317"/>
      <c r="I228" s="317" t="s">
        <v>377</v>
      </c>
      <c r="J228" s="317" t="s">
        <v>378</v>
      </c>
    </row>
    <row r="229" spans="1:10" ht="15" x14ac:dyDescent="0.25">
      <c r="A229" s="317">
        <v>111</v>
      </c>
      <c r="B229" s="12" t="s">
        <v>148</v>
      </c>
      <c r="C229" s="12">
        <f t="shared" si="2"/>
        <v>0</v>
      </c>
      <c r="D229" s="12" t="s">
        <v>434</v>
      </c>
      <c r="E229" s="13">
        <v>82.574880000000007</v>
      </c>
      <c r="F229" s="14">
        <v>-17</v>
      </c>
      <c r="G229" s="317"/>
      <c r="H229" s="317"/>
      <c r="I229" s="317" t="s">
        <v>377</v>
      </c>
      <c r="J229" s="317" t="s">
        <v>378</v>
      </c>
    </row>
    <row r="230" spans="1:10" ht="15" x14ac:dyDescent="0.25">
      <c r="A230" s="317">
        <v>112</v>
      </c>
      <c r="B230" s="12" t="s">
        <v>148</v>
      </c>
      <c r="C230" s="12">
        <f t="shared" si="2"/>
        <v>0</v>
      </c>
      <c r="D230" s="12" t="s">
        <v>435</v>
      </c>
      <c r="E230" s="13">
        <v>67.408079999999998</v>
      </c>
      <c r="F230" s="14">
        <v>-12</v>
      </c>
      <c r="G230" s="317"/>
      <c r="H230" s="317"/>
      <c r="I230" s="317" t="s">
        <v>377</v>
      </c>
      <c r="J230" s="317" t="s">
        <v>378</v>
      </c>
    </row>
    <row r="231" spans="1:10" ht="15" x14ac:dyDescent="0.25">
      <c r="A231" s="317">
        <v>113</v>
      </c>
      <c r="B231" s="12" t="s">
        <v>148</v>
      </c>
      <c r="C231" s="12">
        <f t="shared" si="2"/>
        <v>0</v>
      </c>
      <c r="D231" s="12" t="s">
        <v>436</v>
      </c>
      <c r="E231" s="13">
        <v>62.569776000000005</v>
      </c>
      <c r="F231" s="14">
        <v>-10</v>
      </c>
      <c r="G231" s="317"/>
      <c r="H231" s="317"/>
      <c r="I231" s="317" t="s">
        <v>377</v>
      </c>
      <c r="J231" s="317" t="s">
        <v>378</v>
      </c>
    </row>
    <row r="232" spans="1:10" ht="15" x14ac:dyDescent="0.25">
      <c r="A232" s="317">
        <v>114</v>
      </c>
      <c r="B232" s="12" t="s">
        <v>148</v>
      </c>
      <c r="C232" s="12">
        <f t="shared" si="2"/>
        <v>0</v>
      </c>
      <c r="D232" s="12" t="s">
        <v>437</v>
      </c>
      <c r="E232" s="13">
        <v>65.484167999999997</v>
      </c>
      <c r="F232" s="14">
        <v>-3</v>
      </c>
      <c r="G232" s="317"/>
      <c r="H232" s="317"/>
      <c r="I232" s="317" t="s">
        <v>377</v>
      </c>
      <c r="J232" s="317" t="s">
        <v>378</v>
      </c>
    </row>
    <row r="233" spans="1:10" ht="15" x14ac:dyDescent="0.25">
      <c r="A233" s="317">
        <v>115</v>
      </c>
      <c r="B233" s="12" t="s">
        <v>148</v>
      </c>
      <c r="C233" s="12">
        <f t="shared" si="2"/>
        <v>0</v>
      </c>
      <c r="D233" s="12" t="s">
        <v>438</v>
      </c>
      <c r="E233" s="13">
        <v>68.752416000000011</v>
      </c>
      <c r="F233" s="14">
        <v>-12</v>
      </c>
      <c r="G233" s="317"/>
      <c r="H233" s="317"/>
      <c r="I233" s="317" t="s">
        <v>377</v>
      </c>
      <c r="J233" s="317" t="s">
        <v>378</v>
      </c>
    </row>
    <row r="234" spans="1:10" ht="15" x14ac:dyDescent="0.25">
      <c r="A234" s="317">
        <v>116</v>
      </c>
      <c r="B234" s="12" t="s">
        <v>148</v>
      </c>
      <c r="C234" s="12">
        <f t="shared" si="2"/>
        <v>0</v>
      </c>
      <c r="D234" s="12" t="s">
        <v>439</v>
      </c>
      <c r="E234" s="13">
        <v>68.669544000000002</v>
      </c>
      <c r="F234" s="14">
        <v>-13</v>
      </c>
      <c r="G234" s="317"/>
      <c r="H234" s="317"/>
      <c r="I234" s="317" t="s">
        <v>371</v>
      </c>
      <c r="J234" s="317" t="s">
        <v>372</v>
      </c>
    </row>
    <row r="235" spans="1:10" ht="15" x14ac:dyDescent="0.25">
      <c r="A235" s="317">
        <v>117</v>
      </c>
      <c r="B235" s="12" t="s">
        <v>148</v>
      </c>
      <c r="C235" s="12">
        <f t="shared" si="2"/>
        <v>0</v>
      </c>
      <c r="D235" s="12" t="s">
        <v>440</v>
      </c>
      <c r="E235" s="13">
        <v>65.729064000000008</v>
      </c>
      <c r="F235" s="14">
        <v>-1</v>
      </c>
      <c r="G235" s="317"/>
      <c r="H235" s="317"/>
      <c r="I235" s="317" t="s">
        <v>377</v>
      </c>
      <c r="J235" s="317" t="s">
        <v>378</v>
      </c>
    </row>
    <row r="236" spans="1:10" ht="15" x14ac:dyDescent="0.25">
      <c r="A236" s="317">
        <v>118</v>
      </c>
      <c r="B236" s="12" t="s">
        <v>150</v>
      </c>
      <c r="C236" s="12">
        <f t="shared" si="2"/>
        <v>0</v>
      </c>
      <c r="D236" s="12" t="s">
        <v>441</v>
      </c>
      <c r="E236" s="13">
        <v>40.406664000000006</v>
      </c>
      <c r="F236" s="14">
        <v>16</v>
      </c>
      <c r="G236" s="317"/>
      <c r="H236" s="317"/>
      <c r="I236" s="317" t="s">
        <v>442</v>
      </c>
      <c r="J236" s="317" t="s">
        <v>443</v>
      </c>
    </row>
    <row r="237" spans="1:10" ht="15" x14ac:dyDescent="0.25">
      <c r="A237" s="317">
        <v>119</v>
      </c>
      <c r="B237" s="12" t="s">
        <v>150</v>
      </c>
      <c r="C237" s="12">
        <f t="shared" si="2"/>
        <v>0</v>
      </c>
      <c r="D237" s="12" t="s">
        <v>444</v>
      </c>
      <c r="E237" s="13">
        <v>29.096952000000002</v>
      </c>
      <c r="F237" s="14">
        <v>29</v>
      </c>
      <c r="G237" s="317"/>
      <c r="H237" s="317"/>
      <c r="I237" s="317" t="s">
        <v>442</v>
      </c>
      <c r="J237" s="317" t="s">
        <v>443</v>
      </c>
    </row>
    <row r="238" spans="1:10" ht="15" x14ac:dyDescent="0.25">
      <c r="A238" s="317">
        <v>120</v>
      </c>
      <c r="B238" s="12" t="s">
        <v>150</v>
      </c>
      <c r="C238" s="12">
        <f t="shared" si="2"/>
        <v>0</v>
      </c>
      <c r="D238" s="12" t="s">
        <v>445</v>
      </c>
      <c r="E238" s="13">
        <v>34.469327999999997</v>
      </c>
      <c r="F238" s="14">
        <v>23</v>
      </c>
      <c r="G238" s="317"/>
      <c r="H238" s="317"/>
      <c r="I238" s="317" t="s">
        <v>442</v>
      </c>
      <c r="J238" s="317" t="s">
        <v>443</v>
      </c>
    </row>
    <row r="239" spans="1:10" ht="15" x14ac:dyDescent="0.25">
      <c r="A239" s="317">
        <v>121</v>
      </c>
      <c r="B239" s="12" t="s">
        <v>150</v>
      </c>
      <c r="C239" s="12">
        <f t="shared" si="2"/>
        <v>0</v>
      </c>
      <c r="D239" s="12" t="s">
        <v>446</v>
      </c>
      <c r="E239" s="13">
        <v>36.449856000000004</v>
      </c>
      <c r="F239" s="14">
        <v>19</v>
      </c>
      <c r="G239" s="317"/>
      <c r="H239" s="317"/>
      <c r="I239" s="317" t="s">
        <v>442</v>
      </c>
      <c r="J239" s="317" t="s">
        <v>443</v>
      </c>
    </row>
    <row r="240" spans="1:10" ht="15" x14ac:dyDescent="0.25">
      <c r="A240" s="317">
        <v>122</v>
      </c>
      <c r="B240" s="12" t="s">
        <v>150</v>
      </c>
      <c r="C240" s="12">
        <f t="shared" si="2"/>
        <v>0</v>
      </c>
      <c r="D240" s="12" t="s">
        <v>447</v>
      </c>
      <c r="E240" s="13">
        <v>31.301688000000002</v>
      </c>
      <c r="F240" s="14">
        <v>20</v>
      </c>
      <c r="G240" s="317"/>
      <c r="H240" s="317"/>
      <c r="I240" s="317" t="s">
        <v>442</v>
      </c>
      <c r="J240" s="317" t="s">
        <v>443</v>
      </c>
    </row>
    <row r="241" spans="1:10" ht="15" x14ac:dyDescent="0.25">
      <c r="A241" s="317">
        <v>123</v>
      </c>
      <c r="B241" s="12" t="s">
        <v>150</v>
      </c>
      <c r="C241" s="12">
        <f t="shared" si="2"/>
        <v>0</v>
      </c>
      <c r="D241" s="12" t="s">
        <v>346</v>
      </c>
      <c r="E241" s="13">
        <v>29.195111999999998</v>
      </c>
      <c r="F241" s="14">
        <v>27</v>
      </c>
      <c r="G241" s="317"/>
      <c r="H241" s="317"/>
      <c r="I241" s="317" t="s">
        <v>344</v>
      </c>
      <c r="J241" s="317" t="s">
        <v>345</v>
      </c>
    </row>
    <row r="242" spans="1:10" ht="15" x14ac:dyDescent="0.25">
      <c r="A242" s="317">
        <v>124</v>
      </c>
      <c r="B242" s="12" t="s">
        <v>152</v>
      </c>
      <c r="C242" s="12">
        <f t="shared" si="2"/>
        <v>0</v>
      </c>
      <c r="D242" s="12" t="s">
        <v>448</v>
      </c>
      <c r="E242" s="13">
        <v>79.30192799999999</v>
      </c>
      <c r="F242" s="14">
        <v>-16</v>
      </c>
      <c r="G242" s="317"/>
      <c r="H242" s="317"/>
      <c r="I242" s="317" t="s">
        <v>371</v>
      </c>
      <c r="J242" s="317" t="s">
        <v>372</v>
      </c>
    </row>
    <row r="243" spans="1:10" ht="15" x14ac:dyDescent="0.25">
      <c r="A243" s="317">
        <v>125</v>
      </c>
      <c r="B243" s="12" t="s">
        <v>152</v>
      </c>
      <c r="C243" s="12">
        <f t="shared" si="2"/>
        <v>0</v>
      </c>
      <c r="D243" s="12" t="s">
        <v>449</v>
      </c>
      <c r="E243" s="13">
        <v>86.611919999999998</v>
      </c>
      <c r="F243" s="14">
        <v>-17</v>
      </c>
      <c r="G243" s="317"/>
      <c r="H243" s="317"/>
      <c r="I243" s="317" t="s">
        <v>371</v>
      </c>
      <c r="J243" s="317" t="s">
        <v>372</v>
      </c>
    </row>
    <row r="244" spans="1:10" ht="15" x14ac:dyDescent="0.25">
      <c r="A244" s="317">
        <v>126</v>
      </c>
      <c r="B244" s="12" t="s">
        <v>152</v>
      </c>
      <c r="C244" s="12">
        <f t="shared" si="2"/>
        <v>0</v>
      </c>
      <c r="D244" s="12" t="s">
        <v>450</v>
      </c>
      <c r="E244" s="13">
        <v>87.025800000000004</v>
      </c>
      <c r="F244" s="14">
        <v>-16</v>
      </c>
      <c r="G244" s="317"/>
      <c r="H244" s="317"/>
      <c r="I244" s="317" t="s">
        <v>371</v>
      </c>
      <c r="J244" s="317" t="s">
        <v>372</v>
      </c>
    </row>
    <row r="245" spans="1:10" ht="15" x14ac:dyDescent="0.25">
      <c r="A245" s="317">
        <v>127</v>
      </c>
      <c r="B245" s="12" t="s">
        <v>154</v>
      </c>
      <c r="C245" s="12">
        <f t="shared" si="2"/>
        <v>0</v>
      </c>
      <c r="D245" s="12" t="s">
        <v>451</v>
      </c>
      <c r="E245" s="13">
        <v>56.035536000000008</v>
      </c>
      <c r="F245" s="14">
        <v>-2</v>
      </c>
      <c r="G245" s="317"/>
      <c r="H245" s="317"/>
      <c r="I245" s="317" t="s">
        <v>371</v>
      </c>
      <c r="J245" s="317" t="s">
        <v>372</v>
      </c>
    </row>
    <row r="246" spans="1:10" ht="15" x14ac:dyDescent="0.25">
      <c r="A246" s="317">
        <v>128</v>
      </c>
      <c r="B246" s="12" t="s">
        <v>154</v>
      </c>
      <c r="C246" s="12">
        <f t="shared" si="2"/>
        <v>0</v>
      </c>
      <c r="D246" s="12" t="s">
        <v>452</v>
      </c>
      <c r="E246" s="13">
        <v>65.198304000000007</v>
      </c>
      <c r="F246" s="14">
        <v>-5</v>
      </c>
      <c r="G246" s="317"/>
      <c r="H246" s="317"/>
      <c r="I246" s="317" t="s">
        <v>371</v>
      </c>
      <c r="J246" s="317" t="s">
        <v>372</v>
      </c>
    </row>
    <row r="247" spans="1:10" ht="15" x14ac:dyDescent="0.25">
      <c r="A247" s="317">
        <v>129</v>
      </c>
      <c r="B247" s="12" t="s">
        <v>154</v>
      </c>
      <c r="C247" s="12">
        <f t="shared" ref="C247:C310" si="3">IF(B247=activestate,IF(B247=activestate,C246+1,1),0)</f>
        <v>0</v>
      </c>
      <c r="D247" s="12" t="s">
        <v>453</v>
      </c>
      <c r="E247" s="13">
        <v>56.944872000000004</v>
      </c>
      <c r="F247" s="14">
        <v>-4</v>
      </c>
      <c r="G247" s="317"/>
      <c r="H247" s="317"/>
      <c r="I247" s="317" t="s">
        <v>371</v>
      </c>
      <c r="J247" s="317" t="s">
        <v>372</v>
      </c>
    </row>
    <row r="248" spans="1:10" ht="15" x14ac:dyDescent="0.25">
      <c r="A248" s="317">
        <v>130</v>
      </c>
      <c r="B248" s="12" t="s">
        <v>154</v>
      </c>
      <c r="C248" s="12">
        <f t="shared" si="3"/>
        <v>0</v>
      </c>
      <c r="D248" s="12" t="s">
        <v>454</v>
      </c>
      <c r="E248" s="13">
        <v>52.580975999999993</v>
      </c>
      <c r="F248" s="14">
        <v>-2</v>
      </c>
      <c r="G248" s="317"/>
      <c r="H248" s="317"/>
      <c r="I248" s="317" t="s">
        <v>371</v>
      </c>
      <c r="J248" s="317" t="s">
        <v>372</v>
      </c>
    </row>
    <row r="249" spans="1:10" x14ac:dyDescent="0.2">
      <c r="A249" s="317">
        <v>131</v>
      </c>
      <c r="B249" s="12" t="s">
        <v>154</v>
      </c>
      <c r="C249" s="12">
        <f t="shared" si="3"/>
        <v>0</v>
      </c>
      <c r="D249" s="12" t="s">
        <v>455</v>
      </c>
      <c r="E249" s="13">
        <v>52.205976000000007</v>
      </c>
      <c r="F249" s="373">
        <v>-3</v>
      </c>
      <c r="G249" s="317"/>
      <c r="H249" s="317"/>
      <c r="I249" s="317" t="s">
        <v>335</v>
      </c>
      <c r="J249" s="317" t="s">
        <v>336</v>
      </c>
    </row>
    <row r="250" spans="1:10" ht="15" x14ac:dyDescent="0.25">
      <c r="A250" s="317">
        <v>132</v>
      </c>
      <c r="B250" s="12" t="s">
        <v>156</v>
      </c>
      <c r="C250" s="12">
        <f t="shared" si="3"/>
        <v>0</v>
      </c>
      <c r="D250" s="12" t="s">
        <v>456</v>
      </c>
      <c r="E250" s="13">
        <v>64.254647999999989</v>
      </c>
      <c r="F250" s="14">
        <v>-2</v>
      </c>
      <c r="G250" s="317"/>
      <c r="H250" s="317"/>
      <c r="I250" s="317" t="s">
        <v>341</v>
      </c>
      <c r="J250" s="317" t="s">
        <v>342</v>
      </c>
    </row>
    <row r="251" spans="1:10" ht="15" x14ac:dyDescent="0.25">
      <c r="A251" s="317">
        <v>133</v>
      </c>
      <c r="B251" s="12" t="s">
        <v>158</v>
      </c>
      <c r="C251" s="12">
        <f t="shared" si="3"/>
        <v>0</v>
      </c>
      <c r="D251" s="12" t="s">
        <v>457</v>
      </c>
      <c r="E251" s="13">
        <v>48.910775999999998</v>
      </c>
      <c r="F251" s="14">
        <v>13</v>
      </c>
      <c r="G251" s="317"/>
      <c r="H251" s="317"/>
      <c r="I251" s="317" t="s">
        <v>344</v>
      </c>
      <c r="J251" s="317" t="s">
        <v>345</v>
      </c>
    </row>
    <row r="252" spans="1:10" ht="15" x14ac:dyDescent="0.25">
      <c r="A252" s="317">
        <v>134</v>
      </c>
      <c r="B252" s="12" t="s">
        <v>158</v>
      </c>
      <c r="C252" s="12">
        <f t="shared" si="3"/>
        <v>0</v>
      </c>
      <c r="D252" s="12" t="s">
        <v>458</v>
      </c>
      <c r="E252" s="13">
        <v>50.784192000000004</v>
      </c>
      <c r="F252" s="14">
        <v>14</v>
      </c>
      <c r="G252" s="317"/>
      <c r="H252" s="317"/>
      <c r="I252" s="317" t="s">
        <v>344</v>
      </c>
      <c r="J252" s="317" t="s">
        <v>345</v>
      </c>
    </row>
    <row r="253" spans="1:10" ht="15" x14ac:dyDescent="0.25">
      <c r="A253" s="317">
        <v>135</v>
      </c>
      <c r="B253" s="12" t="s">
        <v>161</v>
      </c>
      <c r="C253" s="12">
        <f t="shared" si="3"/>
        <v>0</v>
      </c>
      <c r="D253" s="12" t="s">
        <v>459</v>
      </c>
      <c r="E253" s="13">
        <v>34.750392000000005</v>
      </c>
      <c r="F253" s="14">
        <v>18</v>
      </c>
      <c r="G253" s="317"/>
      <c r="H253" s="317"/>
      <c r="I253" s="317" t="s">
        <v>317</v>
      </c>
      <c r="J253" s="317" t="s">
        <v>318</v>
      </c>
    </row>
    <row r="254" spans="1:10" ht="15" x14ac:dyDescent="0.25">
      <c r="A254" s="317">
        <v>136</v>
      </c>
      <c r="B254" s="12" t="s">
        <v>161</v>
      </c>
      <c r="C254" s="12">
        <f t="shared" si="3"/>
        <v>0</v>
      </c>
      <c r="D254" s="12" t="s">
        <v>460</v>
      </c>
      <c r="E254" s="13">
        <v>33.270479999999999</v>
      </c>
      <c r="F254" s="14">
        <v>15</v>
      </c>
      <c r="G254" s="317"/>
      <c r="H254" s="317"/>
      <c r="I254" s="317" t="s">
        <v>405</v>
      </c>
      <c r="J254" s="317" t="s">
        <v>406</v>
      </c>
    </row>
    <row r="255" spans="1:10" ht="15" x14ac:dyDescent="0.25">
      <c r="A255" s="317">
        <v>137</v>
      </c>
      <c r="B255" s="12" t="s">
        <v>163</v>
      </c>
      <c r="C255" s="12">
        <f t="shared" si="3"/>
        <v>0</v>
      </c>
      <c r="D255" s="12" t="s">
        <v>461</v>
      </c>
      <c r="E255" s="13">
        <v>51.826391999999998</v>
      </c>
      <c r="F255" s="14">
        <v>1</v>
      </c>
      <c r="G255" s="317"/>
      <c r="H255" s="317"/>
      <c r="I255" s="317" t="s">
        <v>377</v>
      </c>
      <c r="J255" s="317" t="s">
        <v>378</v>
      </c>
    </row>
    <row r="256" spans="1:10" ht="15" x14ac:dyDescent="0.25">
      <c r="A256" s="317">
        <v>138</v>
      </c>
      <c r="B256" s="12" t="s">
        <v>163</v>
      </c>
      <c r="C256" s="12">
        <f t="shared" si="3"/>
        <v>0</v>
      </c>
      <c r="D256" s="12" t="s">
        <v>462</v>
      </c>
      <c r="E256" s="13">
        <v>57.210144</v>
      </c>
      <c r="F256" s="14">
        <v>0</v>
      </c>
      <c r="G256" s="317"/>
      <c r="H256" s="317"/>
      <c r="I256" s="317" t="s">
        <v>377</v>
      </c>
      <c r="J256" s="317" t="s">
        <v>378</v>
      </c>
    </row>
    <row r="257" spans="1:10" ht="15" x14ac:dyDescent="0.25">
      <c r="A257" s="317">
        <v>139</v>
      </c>
      <c r="B257" s="12" t="s">
        <v>163</v>
      </c>
      <c r="C257" s="12">
        <f t="shared" si="3"/>
        <v>0</v>
      </c>
      <c r="D257" s="12" t="s">
        <v>463</v>
      </c>
      <c r="E257" s="13">
        <v>23.665008</v>
      </c>
      <c r="F257" s="14">
        <v>30</v>
      </c>
      <c r="G257" s="317"/>
      <c r="H257" s="317"/>
      <c r="I257" s="317" t="s">
        <v>317</v>
      </c>
      <c r="J257" s="317" t="s">
        <v>318</v>
      </c>
    </row>
    <row r="258" spans="1:10" ht="15" x14ac:dyDescent="0.25">
      <c r="A258" s="317">
        <v>140</v>
      </c>
      <c r="B258" s="12" t="s">
        <v>163</v>
      </c>
      <c r="C258" s="12">
        <f t="shared" si="3"/>
        <v>0</v>
      </c>
      <c r="D258" s="12" t="s">
        <v>464</v>
      </c>
      <c r="E258" s="13">
        <v>39.436775999999995</v>
      </c>
      <c r="F258" s="14">
        <v>13</v>
      </c>
      <c r="G258" s="317"/>
      <c r="H258" s="317"/>
      <c r="I258" s="317" t="s">
        <v>377</v>
      </c>
      <c r="J258" s="317" t="s">
        <v>378</v>
      </c>
    </row>
    <row r="259" spans="1:10" ht="15" x14ac:dyDescent="0.25">
      <c r="A259" s="317">
        <v>141</v>
      </c>
      <c r="B259" s="12" t="s">
        <v>163</v>
      </c>
      <c r="C259" s="12">
        <f t="shared" si="3"/>
        <v>0</v>
      </c>
      <c r="D259" s="12" t="s">
        <v>465</v>
      </c>
      <c r="E259" s="13">
        <v>39.820272000000003</v>
      </c>
      <c r="F259" s="14">
        <v>13</v>
      </c>
      <c r="G259" s="317"/>
      <c r="H259" s="317"/>
      <c r="I259" s="317" t="s">
        <v>377</v>
      </c>
      <c r="J259" s="317" t="s">
        <v>378</v>
      </c>
    </row>
    <row r="260" spans="1:10" ht="15" x14ac:dyDescent="0.25">
      <c r="A260" s="317">
        <v>142</v>
      </c>
      <c r="B260" s="12" t="s">
        <v>163</v>
      </c>
      <c r="C260" s="12">
        <f t="shared" si="3"/>
        <v>0</v>
      </c>
      <c r="D260" s="12" t="s">
        <v>466</v>
      </c>
      <c r="E260" s="13">
        <v>46.267176000000006</v>
      </c>
      <c r="F260" s="14">
        <v>7</v>
      </c>
      <c r="G260" s="317"/>
      <c r="H260" s="317"/>
      <c r="I260" s="317" t="s">
        <v>377</v>
      </c>
      <c r="J260" s="317" t="s">
        <v>378</v>
      </c>
    </row>
    <row r="261" spans="1:10" ht="15" x14ac:dyDescent="0.25">
      <c r="A261" s="317">
        <v>143</v>
      </c>
      <c r="B261" s="12" t="s">
        <v>165</v>
      </c>
      <c r="C261" s="12">
        <f t="shared" si="3"/>
        <v>0</v>
      </c>
      <c r="D261" s="12" t="s">
        <v>467</v>
      </c>
      <c r="E261" s="13">
        <v>62.246447999999994</v>
      </c>
      <c r="F261" s="14">
        <v>-2</v>
      </c>
      <c r="G261" s="317"/>
      <c r="H261" s="317"/>
      <c r="I261" s="317" t="s">
        <v>468</v>
      </c>
      <c r="J261" s="317" t="s">
        <v>469</v>
      </c>
    </row>
    <row r="262" spans="1:10" ht="15" x14ac:dyDescent="0.25">
      <c r="A262" s="317">
        <v>144</v>
      </c>
      <c r="B262" s="12" t="s">
        <v>165</v>
      </c>
      <c r="C262" s="12">
        <f t="shared" si="3"/>
        <v>0</v>
      </c>
      <c r="D262" s="12" t="s">
        <v>470</v>
      </c>
      <c r="E262" s="13">
        <v>64.550087999999988</v>
      </c>
      <c r="F262" s="14">
        <v>2</v>
      </c>
      <c r="G262" s="317"/>
      <c r="H262" s="317"/>
      <c r="I262" s="317" t="s">
        <v>468</v>
      </c>
      <c r="J262" s="317" t="s">
        <v>469</v>
      </c>
    </row>
    <row r="263" spans="1:10" ht="15" x14ac:dyDescent="0.25">
      <c r="A263" s="317">
        <v>145</v>
      </c>
      <c r="B263" s="12" t="s">
        <v>165</v>
      </c>
      <c r="C263" s="12">
        <f t="shared" si="3"/>
        <v>0</v>
      </c>
      <c r="D263" s="12" t="s">
        <v>471</v>
      </c>
      <c r="E263" s="13">
        <v>62.513232000000002</v>
      </c>
      <c r="F263" s="14">
        <v>5</v>
      </c>
      <c r="G263" s="317"/>
      <c r="H263" s="317"/>
      <c r="I263" s="317" t="s">
        <v>468</v>
      </c>
      <c r="J263" s="317" t="s">
        <v>469</v>
      </c>
    </row>
    <row r="264" spans="1:10" ht="15" x14ac:dyDescent="0.25">
      <c r="A264" s="317">
        <v>146</v>
      </c>
      <c r="B264" s="12" t="s">
        <v>165</v>
      </c>
      <c r="C264" s="12">
        <f t="shared" si="3"/>
        <v>0</v>
      </c>
      <c r="D264" s="12" t="s">
        <v>472</v>
      </c>
      <c r="E264" s="13">
        <v>76.433855999999992</v>
      </c>
      <c r="F264" s="14">
        <v>-10</v>
      </c>
      <c r="G264" s="317"/>
      <c r="H264" s="317"/>
      <c r="I264" s="317" t="s">
        <v>468</v>
      </c>
      <c r="J264" s="317" t="s">
        <v>469</v>
      </c>
    </row>
    <row r="265" spans="1:10" ht="15" x14ac:dyDescent="0.25">
      <c r="A265" s="317">
        <v>147</v>
      </c>
      <c r="B265" s="12" t="s">
        <v>165</v>
      </c>
      <c r="C265" s="12">
        <f t="shared" si="3"/>
        <v>0</v>
      </c>
      <c r="D265" s="12" t="s">
        <v>473</v>
      </c>
      <c r="E265" s="13">
        <v>50.005871999999997</v>
      </c>
      <c r="F265" s="14">
        <v>16</v>
      </c>
      <c r="G265" s="317"/>
      <c r="H265" s="317"/>
      <c r="I265" s="317" t="s">
        <v>474</v>
      </c>
      <c r="J265" s="317" t="s">
        <v>475</v>
      </c>
    </row>
    <row r="266" spans="1:10" ht="15" x14ac:dyDescent="0.25">
      <c r="A266" s="317">
        <v>148</v>
      </c>
      <c r="B266" s="12" t="s">
        <v>165</v>
      </c>
      <c r="C266" s="12">
        <f t="shared" si="3"/>
        <v>0</v>
      </c>
      <c r="D266" s="12" t="s">
        <v>425</v>
      </c>
      <c r="E266" s="13">
        <v>61.047480000000007</v>
      </c>
      <c r="F266" s="14">
        <v>5</v>
      </c>
      <c r="G266" s="317"/>
      <c r="H266" s="317"/>
      <c r="I266" s="317" t="s">
        <v>371</v>
      </c>
      <c r="J266" s="317" t="s">
        <v>372</v>
      </c>
    </row>
    <row r="267" spans="1:10" ht="15" x14ac:dyDescent="0.25">
      <c r="A267" s="317">
        <v>149</v>
      </c>
      <c r="B267" s="12" t="s">
        <v>165</v>
      </c>
      <c r="C267" s="12">
        <f t="shared" si="3"/>
        <v>0</v>
      </c>
      <c r="D267" s="12" t="s">
        <v>476</v>
      </c>
      <c r="E267" s="13">
        <v>62.843136000000001</v>
      </c>
      <c r="F267" s="14">
        <v>2</v>
      </c>
      <c r="G267" s="317"/>
      <c r="H267" s="317"/>
      <c r="I267" s="317" t="s">
        <v>468</v>
      </c>
      <c r="J267" s="317" t="s">
        <v>469</v>
      </c>
    </row>
    <row r="268" spans="1:10" ht="15" x14ac:dyDescent="0.25">
      <c r="A268" s="317">
        <v>150</v>
      </c>
      <c r="B268" s="12" t="s">
        <v>167</v>
      </c>
      <c r="C268" s="12">
        <f t="shared" si="3"/>
        <v>0</v>
      </c>
      <c r="D268" s="12" t="s">
        <v>477</v>
      </c>
      <c r="E268" s="13">
        <v>54.355440000000002</v>
      </c>
      <c r="F268" s="14">
        <v>5</v>
      </c>
      <c r="G268" s="317"/>
      <c r="H268" s="317"/>
      <c r="I268" s="317" t="s">
        <v>381</v>
      </c>
      <c r="J268" s="317" t="s">
        <v>382</v>
      </c>
    </row>
    <row r="269" spans="1:10" ht="15" x14ac:dyDescent="0.25">
      <c r="A269" s="317">
        <v>151</v>
      </c>
      <c r="B269" s="12" t="s">
        <v>167</v>
      </c>
      <c r="C269" s="12">
        <f t="shared" si="3"/>
        <v>0</v>
      </c>
      <c r="D269" s="12" t="s">
        <v>478</v>
      </c>
      <c r="E269" s="13">
        <v>56.729904000000005</v>
      </c>
      <c r="F269" s="14">
        <v>6</v>
      </c>
      <c r="G269" s="317"/>
      <c r="H269" s="317"/>
      <c r="I269" s="317" t="s">
        <v>381</v>
      </c>
      <c r="J269" s="317" t="s">
        <v>382</v>
      </c>
    </row>
    <row r="270" spans="1:10" ht="15" x14ac:dyDescent="0.25">
      <c r="A270" s="317">
        <v>152</v>
      </c>
      <c r="B270" s="12" t="s">
        <v>167</v>
      </c>
      <c r="C270" s="12">
        <f t="shared" si="3"/>
        <v>0</v>
      </c>
      <c r="D270" s="12" t="s">
        <v>359</v>
      </c>
      <c r="E270" s="13">
        <v>51.573983999999989</v>
      </c>
      <c r="F270" s="14">
        <v>8</v>
      </c>
      <c r="G270" s="317"/>
      <c r="H270" s="317"/>
      <c r="I270" s="317" t="s">
        <v>305</v>
      </c>
      <c r="J270" s="317" t="s">
        <v>306</v>
      </c>
    </row>
    <row r="271" spans="1:10" ht="15" x14ac:dyDescent="0.25">
      <c r="A271" s="317">
        <v>153</v>
      </c>
      <c r="B271" s="12" t="s">
        <v>167</v>
      </c>
      <c r="C271" s="12">
        <f t="shared" si="3"/>
        <v>0</v>
      </c>
      <c r="D271" s="12" t="s">
        <v>479</v>
      </c>
      <c r="E271" s="13">
        <v>54.34523999999999</v>
      </c>
      <c r="F271" s="14">
        <v>6.5</v>
      </c>
      <c r="G271" s="317"/>
      <c r="H271" s="317"/>
      <c r="I271" s="317" t="s">
        <v>381</v>
      </c>
      <c r="J271" s="317" t="s">
        <v>382</v>
      </c>
    </row>
    <row r="272" spans="1:10" ht="15" x14ac:dyDescent="0.25">
      <c r="A272" s="317">
        <v>154</v>
      </c>
      <c r="B272" s="12" t="s">
        <v>167</v>
      </c>
      <c r="C272" s="12">
        <f t="shared" si="3"/>
        <v>0</v>
      </c>
      <c r="D272" s="12" t="s">
        <v>480</v>
      </c>
      <c r="E272" s="13">
        <v>59.117111999999999</v>
      </c>
      <c r="F272" s="14">
        <v>4</v>
      </c>
      <c r="G272" s="317"/>
      <c r="H272" s="317"/>
      <c r="I272" s="317" t="s">
        <v>381</v>
      </c>
      <c r="J272" s="317" t="s">
        <v>382</v>
      </c>
    </row>
    <row r="273" spans="1:10" ht="15" x14ac:dyDescent="0.25">
      <c r="A273" s="317">
        <v>155</v>
      </c>
      <c r="B273" s="12" t="s">
        <v>167</v>
      </c>
      <c r="C273" s="12">
        <f t="shared" si="3"/>
        <v>0</v>
      </c>
      <c r="D273" s="12" t="s">
        <v>481</v>
      </c>
      <c r="E273" s="13">
        <v>60.366095999999999</v>
      </c>
      <c r="F273" s="14">
        <v>3</v>
      </c>
      <c r="G273" s="317"/>
      <c r="H273" s="317"/>
      <c r="I273" s="317" t="s">
        <v>381</v>
      </c>
      <c r="J273" s="317" t="s">
        <v>382</v>
      </c>
    </row>
    <row r="274" spans="1:10" ht="15" x14ac:dyDescent="0.25">
      <c r="A274" s="317">
        <v>156</v>
      </c>
      <c r="B274" s="12" t="s">
        <v>167</v>
      </c>
      <c r="C274" s="12">
        <f t="shared" si="3"/>
        <v>0</v>
      </c>
      <c r="D274" s="12" t="s">
        <v>482</v>
      </c>
      <c r="E274" s="13">
        <v>61.321056000000013</v>
      </c>
      <c r="F274" s="14">
        <v>4</v>
      </c>
      <c r="G274" s="317"/>
      <c r="H274" s="317"/>
      <c r="I274" s="317" t="s">
        <v>381</v>
      </c>
      <c r="J274" s="317" t="s">
        <v>382</v>
      </c>
    </row>
    <row r="275" spans="1:10" ht="15" x14ac:dyDescent="0.25">
      <c r="A275" s="317">
        <v>157</v>
      </c>
      <c r="B275" s="12" t="s">
        <v>169</v>
      </c>
      <c r="C275" s="12">
        <f t="shared" si="3"/>
        <v>0</v>
      </c>
      <c r="D275" s="12" t="s">
        <v>483</v>
      </c>
      <c r="E275" s="13">
        <v>42.896736000000004</v>
      </c>
      <c r="F275" s="14">
        <v>16</v>
      </c>
      <c r="G275" s="317"/>
      <c r="H275" s="317"/>
      <c r="I275" s="317" t="s">
        <v>405</v>
      </c>
      <c r="J275" s="317" t="s">
        <v>406</v>
      </c>
    </row>
    <row r="276" spans="1:10" ht="15" x14ac:dyDescent="0.25">
      <c r="A276" s="317">
        <v>158</v>
      </c>
      <c r="B276" s="12" t="s">
        <v>169</v>
      </c>
      <c r="C276" s="12">
        <f t="shared" si="3"/>
        <v>0</v>
      </c>
      <c r="D276" s="12" t="s">
        <v>484</v>
      </c>
      <c r="E276" s="13">
        <v>42.857064000000001</v>
      </c>
      <c r="F276" s="14">
        <v>14</v>
      </c>
      <c r="G276" s="317"/>
      <c r="H276" s="317"/>
      <c r="I276" s="317" t="s">
        <v>405</v>
      </c>
      <c r="J276" s="317" t="s">
        <v>406</v>
      </c>
    </row>
    <row r="277" spans="1:10" ht="15" x14ac:dyDescent="0.25">
      <c r="A277" s="317">
        <v>159</v>
      </c>
      <c r="B277" s="12" t="s">
        <v>171</v>
      </c>
      <c r="C277" s="12">
        <f t="shared" si="3"/>
        <v>0</v>
      </c>
      <c r="D277" s="12" t="s">
        <v>485</v>
      </c>
      <c r="E277" s="13">
        <v>31.410263999999998</v>
      </c>
      <c r="F277" s="14">
        <v>29</v>
      </c>
      <c r="G277" s="317"/>
      <c r="H277" s="317"/>
      <c r="I277" s="317" t="s">
        <v>377</v>
      </c>
      <c r="J277" s="317" t="s">
        <v>378</v>
      </c>
    </row>
    <row r="278" spans="1:10" ht="15" x14ac:dyDescent="0.25">
      <c r="A278" s="317">
        <v>160</v>
      </c>
      <c r="B278" s="12" t="s">
        <v>171</v>
      </c>
      <c r="C278" s="12">
        <f t="shared" si="3"/>
        <v>0</v>
      </c>
      <c r="D278" s="12" t="s">
        <v>486</v>
      </c>
      <c r="E278" s="13">
        <v>34.74024</v>
      </c>
      <c r="F278" s="14">
        <v>26</v>
      </c>
      <c r="G278" s="317"/>
      <c r="H278" s="317"/>
      <c r="I278" s="317" t="s">
        <v>377</v>
      </c>
      <c r="J278" s="317" t="s">
        <v>378</v>
      </c>
    </row>
    <row r="279" spans="1:10" ht="15" x14ac:dyDescent="0.25">
      <c r="A279" s="317">
        <v>161</v>
      </c>
      <c r="B279" s="12" t="s">
        <v>171</v>
      </c>
      <c r="C279" s="12">
        <f t="shared" si="3"/>
        <v>0</v>
      </c>
      <c r="D279" s="12" t="s">
        <v>487</v>
      </c>
      <c r="E279" s="13">
        <v>39.751632000000001</v>
      </c>
      <c r="F279" s="14">
        <v>24</v>
      </c>
      <c r="G279" s="317"/>
      <c r="H279" s="317"/>
      <c r="I279" s="317" t="s">
        <v>377</v>
      </c>
      <c r="J279" s="317" t="s">
        <v>378</v>
      </c>
    </row>
    <row r="280" spans="1:10" ht="15" x14ac:dyDescent="0.25">
      <c r="A280" s="317">
        <v>162</v>
      </c>
      <c r="B280" s="12" t="s">
        <v>171</v>
      </c>
      <c r="C280" s="12">
        <f t="shared" si="3"/>
        <v>0</v>
      </c>
      <c r="D280" s="12" t="s">
        <v>488</v>
      </c>
      <c r="E280" s="13">
        <v>23.013168</v>
      </c>
      <c r="F280" s="14">
        <v>32</v>
      </c>
      <c r="G280" s="317"/>
      <c r="H280" s="317"/>
      <c r="I280" s="317" t="s">
        <v>377</v>
      </c>
      <c r="J280" s="317" t="s">
        <v>378</v>
      </c>
    </row>
    <row r="281" spans="1:10" ht="15" x14ac:dyDescent="0.25">
      <c r="A281" s="317">
        <v>163</v>
      </c>
      <c r="B281" s="12" t="s">
        <v>171</v>
      </c>
      <c r="C281" s="12">
        <f t="shared" si="3"/>
        <v>0</v>
      </c>
      <c r="D281" s="12" t="s">
        <v>489</v>
      </c>
      <c r="E281" s="13">
        <v>44.462687999999993</v>
      </c>
      <c r="F281" s="14">
        <v>11</v>
      </c>
      <c r="G281" s="317"/>
      <c r="H281" s="317"/>
      <c r="I281" s="317" t="s">
        <v>377</v>
      </c>
      <c r="J281" s="317" t="s">
        <v>378</v>
      </c>
    </row>
    <row r="282" spans="1:10" ht="15" x14ac:dyDescent="0.25">
      <c r="A282" s="317">
        <v>164</v>
      </c>
      <c r="B282" s="12" t="s">
        <v>171</v>
      </c>
      <c r="C282" s="12">
        <f t="shared" si="3"/>
        <v>0</v>
      </c>
      <c r="D282" s="12" t="s">
        <v>411</v>
      </c>
      <c r="E282" s="13">
        <v>36.322704000000002</v>
      </c>
      <c r="F282" s="14">
        <v>27</v>
      </c>
      <c r="G282" s="317"/>
      <c r="H282" s="317"/>
      <c r="I282" s="317" t="s">
        <v>341</v>
      </c>
      <c r="J282" s="317" t="s">
        <v>342</v>
      </c>
    </row>
    <row r="283" spans="1:10" ht="15" x14ac:dyDescent="0.25">
      <c r="A283" s="317">
        <v>165</v>
      </c>
      <c r="B283" s="12" t="s">
        <v>171</v>
      </c>
      <c r="C283" s="12">
        <f t="shared" si="3"/>
        <v>0</v>
      </c>
      <c r="D283" s="12" t="s">
        <v>490</v>
      </c>
      <c r="E283" s="13">
        <v>48.436368000000009</v>
      </c>
      <c r="F283" s="14">
        <v>9</v>
      </c>
      <c r="G283" s="317"/>
      <c r="H283" s="317"/>
      <c r="I283" s="317" t="s">
        <v>377</v>
      </c>
      <c r="J283" s="317" t="s">
        <v>378</v>
      </c>
    </row>
    <row r="284" spans="1:10" ht="15" x14ac:dyDescent="0.25">
      <c r="A284" s="317">
        <v>166</v>
      </c>
      <c r="B284" s="12" t="s">
        <v>171</v>
      </c>
      <c r="C284" s="12">
        <f t="shared" si="3"/>
        <v>0</v>
      </c>
      <c r="D284" s="12" t="s">
        <v>491</v>
      </c>
      <c r="E284" s="13">
        <v>36.586944000000003</v>
      </c>
      <c r="F284" s="14">
        <v>25</v>
      </c>
      <c r="G284" s="317"/>
      <c r="H284" s="317"/>
      <c r="I284" s="317" t="s">
        <v>377</v>
      </c>
      <c r="J284" s="317" t="s">
        <v>378</v>
      </c>
    </row>
    <row r="285" spans="1:10" ht="15" x14ac:dyDescent="0.25">
      <c r="A285" s="317">
        <v>167</v>
      </c>
      <c r="B285" s="12" t="s">
        <v>173</v>
      </c>
      <c r="C285" s="12">
        <f t="shared" si="3"/>
        <v>0</v>
      </c>
      <c r="D285" s="12" t="s">
        <v>492</v>
      </c>
      <c r="E285" s="13">
        <v>55.455455999999998</v>
      </c>
      <c r="F285" s="14">
        <v>10</v>
      </c>
      <c r="G285" s="317"/>
      <c r="H285" s="317"/>
      <c r="I285" s="317" t="s">
        <v>344</v>
      </c>
      <c r="J285" s="317" t="s">
        <v>345</v>
      </c>
    </row>
    <row r="286" spans="1:10" ht="15" x14ac:dyDescent="0.25">
      <c r="A286" s="317">
        <v>168</v>
      </c>
      <c r="B286" s="12" t="s">
        <v>173</v>
      </c>
      <c r="C286" s="12">
        <f t="shared" si="3"/>
        <v>0</v>
      </c>
      <c r="D286" s="12" t="s">
        <v>493</v>
      </c>
      <c r="E286" s="13">
        <v>69.942815999999993</v>
      </c>
      <c r="F286" s="14">
        <v>-1</v>
      </c>
      <c r="G286" s="317"/>
      <c r="H286" s="317"/>
      <c r="I286" s="317" t="s">
        <v>344</v>
      </c>
      <c r="J286" s="317" t="s">
        <v>345</v>
      </c>
    </row>
    <row r="287" spans="1:10" ht="15" x14ac:dyDescent="0.25">
      <c r="A287" s="317">
        <v>169</v>
      </c>
      <c r="B287" s="12" t="s">
        <v>173</v>
      </c>
      <c r="C287" s="12">
        <f t="shared" si="3"/>
        <v>0</v>
      </c>
      <c r="D287" s="12" t="s">
        <v>494</v>
      </c>
      <c r="E287" s="13">
        <v>65.967216000000008</v>
      </c>
      <c r="F287" s="14">
        <v>7</v>
      </c>
      <c r="G287" s="317"/>
      <c r="H287" s="317"/>
      <c r="I287" s="317" t="s">
        <v>344</v>
      </c>
      <c r="J287" s="317" t="s">
        <v>345</v>
      </c>
    </row>
    <row r="288" spans="1:10" ht="15" x14ac:dyDescent="0.25">
      <c r="A288" s="317">
        <v>170</v>
      </c>
      <c r="B288" s="12" t="s">
        <v>173</v>
      </c>
      <c r="C288" s="12">
        <f t="shared" si="3"/>
        <v>0</v>
      </c>
      <c r="D288" s="12" t="s">
        <v>495</v>
      </c>
      <c r="E288" s="13">
        <v>46.221383999999993</v>
      </c>
      <c r="F288" s="14">
        <v>13</v>
      </c>
      <c r="G288" s="317"/>
      <c r="H288" s="317"/>
      <c r="I288" s="317" t="s">
        <v>344</v>
      </c>
      <c r="J288" s="317" t="s">
        <v>345</v>
      </c>
    </row>
    <row r="289" spans="1:10" ht="15" x14ac:dyDescent="0.25">
      <c r="A289" s="317">
        <v>171</v>
      </c>
      <c r="B289" s="12" t="s">
        <v>173</v>
      </c>
      <c r="C289" s="12">
        <f t="shared" si="3"/>
        <v>0</v>
      </c>
      <c r="D289" s="12" t="s">
        <v>496</v>
      </c>
      <c r="E289" s="13">
        <v>49.990296000000001</v>
      </c>
      <c r="F289" s="14">
        <v>14.33</v>
      </c>
      <c r="G289" s="317"/>
      <c r="H289" s="317"/>
      <c r="I289" s="317" t="s">
        <v>344</v>
      </c>
      <c r="J289" s="317" t="s">
        <v>345</v>
      </c>
    </row>
    <row r="290" spans="1:10" ht="15" x14ac:dyDescent="0.25">
      <c r="A290" s="317">
        <v>172</v>
      </c>
      <c r="B290" s="12" t="s">
        <v>173</v>
      </c>
      <c r="C290" s="12">
        <f t="shared" si="3"/>
        <v>0</v>
      </c>
      <c r="D290" s="12" t="s">
        <v>497</v>
      </c>
      <c r="E290" s="13">
        <v>53.840615999999997</v>
      </c>
      <c r="F290" s="14">
        <v>9</v>
      </c>
      <c r="G290" s="317"/>
      <c r="H290" s="317"/>
      <c r="I290" s="317" t="s">
        <v>381</v>
      </c>
      <c r="J290" s="317" t="s">
        <v>382</v>
      </c>
    </row>
    <row r="291" spans="1:10" ht="15" x14ac:dyDescent="0.25">
      <c r="A291" s="317">
        <v>173</v>
      </c>
      <c r="B291" s="12" t="s">
        <v>173</v>
      </c>
      <c r="C291" s="12">
        <f t="shared" si="3"/>
        <v>0</v>
      </c>
      <c r="D291" s="12" t="s">
        <v>498</v>
      </c>
      <c r="E291" s="13">
        <v>57.530184000000006</v>
      </c>
      <c r="F291" s="14">
        <v>7</v>
      </c>
      <c r="G291" s="317"/>
      <c r="H291" s="317"/>
      <c r="I291" s="317" t="s">
        <v>344</v>
      </c>
      <c r="J291" s="317" t="s">
        <v>345</v>
      </c>
    </row>
    <row r="292" spans="1:10" ht="15" x14ac:dyDescent="0.25">
      <c r="A292" s="317">
        <v>174</v>
      </c>
      <c r="B292" s="12" t="s">
        <v>173</v>
      </c>
      <c r="C292" s="12">
        <f t="shared" si="3"/>
        <v>0</v>
      </c>
      <c r="D292" s="12" t="s">
        <v>499</v>
      </c>
      <c r="E292" s="13">
        <v>52.247664</v>
      </c>
      <c r="F292" s="14">
        <v>7</v>
      </c>
      <c r="G292" s="317"/>
      <c r="H292" s="317"/>
      <c r="I292" s="317" t="s">
        <v>344</v>
      </c>
      <c r="J292" s="317" t="s">
        <v>345</v>
      </c>
    </row>
    <row r="293" spans="1:10" ht="15" x14ac:dyDescent="0.25">
      <c r="A293" s="317">
        <v>175</v>
      </c>
      <c r="B293" s="12" t="s">
        <v>175</v>
      </c>
      <c r="C293" s="12">
        <f t="shared" si="3"/>
        <v>0</v>
      </c>
      <c r="D293" s="12" t="s">
        <v>500</v>
      </c>
      <c r="E293" s="13">
        <v>52.454328000000004</v>
      </c>
      <c r="F293" s="14">
        <v>10</v>
      </c>
      <c r="G293" s="317"/>
      <c r="H293" s="317"/>
      <c r="I293" s="317" t="s">
        <v>341</v>
      </c>
      <c r="J293" s="317" t="s">
        <v>342</v>
      </c>
    </row>
    <row r="294" spans="1:10" ht="15" x14ac:dyDescent="0.25">
      <c r="A294" s="317">
        <v>176</v>
      </c>
      <c r="B294" s="12" t="s">
        <v>177</v>
      </c>
      <c r="C294" s="12">
        <f t="shared" si="3"/>
        <v>0</v>
      </c>
      <c r="D294" s="12" t="s">
        <v>501</v>
      </c>
      <c r="E294" s="13">
        <v>25.988616</v>
      </c>
      <c r="F294" s="14">
        <v>28</v>
      </c>
      <c r="G294" s="317"/>
      <c r="H294" s="317"/>
      <c r="I294" s="317" t="s">
        <v>442</v>
      </c>
      <c r="J294" s="317" t="s">
        <v>443</v>
      </c>
    </row>
    <row r="295" spans="1:10" ht="15" x14ac:dyDescent="0.25">
      <c r="A295" s="317">
        <v>177</v>
      </c>
      <c r="B295" s="12" t="s">
        <v>177</v>
      </c>
      <c r="C295" s="12">
        <f t="shared" si="3"/>
        <v>0</v>
      </c>
      <c r="D295" s="12" t="s">
        <v>427</v>
      </c>
      <c r="E295" s="13">
        <v>28.496976</v>
      </c>
      <c r="F295" s="14">
        <v>24</v>
      </c>
      <c r="G295" s="317"/>
      <c r="H295" s="317"/>
      <c r="I295" s="317" t="s">
        <v>385</v>
      </c>
      <c r="J295" s="317" t="s">
        <v>386</v>
      </c>
    </row>
    <row r="296" spans="1:10" ht="15" x14ac:dyDescent="0.25">
      <c r="A296" s="317">
        <v>178</v>
      </c>
      <c r="B296" s="12" t="s">
        <v>177</v>
      </c>
      <c r="C296" s="12">
        <f t="shared" si="3"/>
        <v>0</v>
      </c>
      <c r="D296" s="12" t="s">
        <v>502</v>
      </c>
      <c r="E296" s="13">
        <v>34.385280000000002</v>
      </c>
      <c r="F296" s="14">
        <v>23</v>
      </c>
      <c r="G296" s="317"/>
      <c r="H296" s="317"/>
      <c r="I296" s="317" t="s">
        <v>442</v>
      </c>
      <c r="J296" s="317" t="s">
        <v>443</v>
      </c>
    </row>
    <row r="297" spans="1:10" ht="15" x14ac:dyDescent="0.25">
      <c r="A297" s="317">
        <v>179</v>
      </c>
      <c r="B297" s="12" t="s">
        <v>179</v>
      </c>
      <c r="C297" s="12">
        <f t="shared" si="3"/>
        <v>0</v>
      </c>
      <c r="D297" s="12" t="s">
        <v>503</v>
      </c>
      <c r="E297" s="13">
        <v>76.019760000000005</v>
      </c>
      <c r="F297" s="14">
        <v>-12</v>
      </c>
      <c r="G297" s="317"/>
      <c r="H297" s="317"/>
      <c r="I297" s="317" t="s">
        <v>371</v>
      </c>
      <c r="J297" s="317" t="s">
        <v>372</v>
      </c>
    </row>
    <row r="298" spans="1:10" ht="15" x14ac:dyDescent="0.25">
      <c r="A298" s="317">
        <v>180</v>
      </c>
      <c r="B298" s="12" t="s">
        <v>179</v>
      </c>
      <c r="C298" s="12">
        <f t="shared" si="3"/>
        <v>0</v>
      </c>
      <c r="D298" s="12" t="s">
        <v>504</v>
      </c>
      <c r="E298" s="13">
        <v>65.182079999999999</v>
      </c>
      <c r="F298" s="14">
        <v>-9</v>
      </c>
      <c r="G298" s="317"/>
      <c r="H298" s="317"/>
      <c r="I298" s="317" t="s">
        <v>371</v>
      </c>
      <c r="J298" s="317" t="s">
        <v>372</v>
      </c>
    </row>
    <row r="299" spans="1:10" ht="15" x14ac:dyDescent="0.25">
      <c r="A299" s="317">
        <v>181</v>
      </c>
      <c r="B299" s="12" t="s">
        <v>179</v>
      </c>
      <c r="C299" s="12">
        <f t="shared" si="3"/>
        <v>0</v>
      </c>
      <c r="D299" s="12" t="s">
        <v>505</v>
      </c>
      <c r="E299" s="13">
        <v>60.722712000000016</v>
      </c>
      <c r="F299" s="14">
        <v>-5</v>
      </c>
      <c r="G299" s="317"/>
      <c r="H299" s="317"/>
      <c r="I299" s="317" t="s">
        <v>371</v>
      </c>
      <c r="J299" s="317" t="s">
        <v>372</v>
      </c>
    </row>
    <row r="300" spans="1:10" ht="15" x14ac:dyDescent="0.25">
      <c r="A300" s="317">
        <v>182</v>
      </c>
      <c r="B300" s="12" t="s">
        <v>179</v>
      </c>
      <c r="C300" s="12">
        <f t="shared" si="3"/>
        <v>0</v>
      </c>
      <c r="D300" s="12" t="s">
        <v>506</v>
      </c>
      <c r="E300" s="13">
        <v>71.137703999999999</v>
      </c>
      <c r="F300" s="14">
        <v>-11</v>
      </c>
      <c r="G300" s="317"/>
      <c r="H300" s="317"/>
      <c r="I300" s="317" t="s">
        <v>371</v>
      </c>
      <c r="J300" s="317" t="s">
        <v>372</v>
      </c>
    </row>
    <row r="301" spans="1:10" ht="15" x14ac:dyDescent="0.25">
      <c r="A301" s="317">
        <v>183</v>
      </c>
      <c r="B301" s="12" t="s">
        <v>181</v>
      </c>
      <c r="C301" s="12">
        <f t="shared" si="3"/>
        <v>0</v>
      </c>
      <c r="D301" s="12" t="s">
        <v>507</v>
      </c>
      <c r="E301" s="13">
        <v>37.724736</v>
      </c>
      <c r="F301" s="14">
        <v>14</v>
      </c>
      <c r="G301" s="317"/>
      <c r="H301" s="317"/>
      <c r="I301" s="317" t="s">
        <v>308</v>
      </c>
      <c r="J301" s="317" t="s">
        <v>309</v>
      </c>
    </row>
    <row r="302" spans="1:10" ht="15" x14ac:dyDescent="0.25">
      <c r="A302" s="317">
        <v>184</v>
      </c>
      <c r="B302" s="12" t="s">
        <v>181</v>
      </c>
      <c r="C302" s="12">
        <f t="shared" si="3"/>
        <v>0</v>
      </c>
      <c r="D302" s="12" t="s">
        <v>508</v>
      </c>
      <c r="E302" s="13">
        <v>31.879703999999997</v>
      </c>
      <c r="F302" s="14">
        <v>20</v>
      </c>
      <c r="G302" s="317"/>
      <c r="H302" s="317"/>
      <c r="I302" s="317" t="s">
        <v>308</v>
      </c>
      <c r="J302" s="317" t="s">
        <v>309</v>
      </c>
    </row>
    <row r="303" spans="1:10" ht="15" x14ac:dyDescent="0.25">
      <c r="A303" s="317">
        <v>185</v>
      </c>
      <c r="B303" s="12" t="s">
        <v>181</v>
      </c>
      <c r="C303" s="12">
        <f t="shared" si="3"/>
        <v>0</v>
      </c>
      <c r="D303" s="12" t="s">
        <v>509</v>
      </c>
      <c r="E303" s="13">
        <v>33.765312000000002</v>
      </c>
      <c r="F303" s="14">
        <v>19</v>
      </c>
      <c r="G303" s="317"/>
      <c r="H303" s="317"/>
      <c r="I303" s="317" t="s">
        <v>308</v>
      </c>
      <c r="J303" s="317" t="s">
        <v>309</v>
      </c>
    </row>
    <row r="304" spans="1:10" ht="15" x14ac:dyDescent="0.25">
      <c r="A304" s="317">
        <v>186</v>
      </c>
      <c r="B304" s="12" t="s">
        <v>181</v>
      </c>
      <c r="C304" s="12">
        <f t="shared" si="3"/>
        <v>0</v>
      </c>
      <c r="D304" s="12" t="s">
        <v>510</v>
      </c>
      <c r="E304" s="13">
        <v>34.006943999999997</v>
      </c>
      <c r="F304" s="14">
        <v>21</v>
      </c>
      <c r="G304" s="317"/>
      <c r="H304" s="317"/>
      <c r="I304" s="317" t="s">
        <v>308</v>
      </c>
      <c r="J304" s="317" t="s">
        <v>309</v>
      </c>
    </row>
    <row r="305" spans="1:10" ht="15" x14ac:dyDescent="0.25">
      <c r="A305" s="317">
        <v>187</v>
      </c>
      <c r="B305" s="12" t="s">
        <v>181</v>
      </c>
      <c r="C305" s="12">
        <f t="shared" si="3"/>
        <v>0</v>
      </c>
      <c r="D305" s="12" t="s">
        <v>511</v>
      </c>
      <c r="E305" s="13">
        <v>37.762391999999998</v>
      </c>
      <c r="F305" s="14">
        <v>16</v>
      </c>
      <c r="G305" s="317"/>
      <c r="H305" s="317"/>
      <c r="I305" s="317" t="s">
        <v>308</v>
      </c>
      <c r="J305" s="317" t="s">
        <v>309</v>
      </c>
    </row>
    <row r="306" spans="1:10" ht="15" x14ac:dyDescent="0.25">
      <c r="A306" s="317">
        <v>188</v>
      </c>
      <c r="B306" s="12" t="s">
        <v>183</v>
      </c>
      <c r="C306" s="12">
        <f t="shared" si="3"/>
        <v>0</v>
      </c>
      <c r="D306" s="12" t="s">
        <v>512</v>
      </c>
      <c r="E306" s="13">
        <v>32.092656000000005</v>
      </c>
      <c r="F306" s="14">
        <v>22</v>
      </c>
      <c r="G306" s="317"/>
      <c r="H306" s="317"/>
      <c r="I306" s="317" t="s">
        <v>513</v>
      </c>
      <c r="J306" s="317" t="s">
        <v>514</v>
      </c>
    </row>
    <row r="307" spans="1:10" ht="15" x14ac:dyDescent="0.25">
      <c r="A307" s="317">
        <v>189</v>
      </c>
      <c r="B307" s="12" t="s">
        <v>183</v>
      </c>
      <c r="C307" s="12">
        <f t="shared" si="3"/>
        <v>0</v>
      </c>
      <c r="D307" s="12" t="s">
        <v>515</v>
      </c>
      <c r="E307" s="13">
        <v>44.216856</v>
      </c>
      <c r="F307" s="14">
        <v>12</v>
      </c>
      <c r="G307" s="317"/>
      <c r="H307" s="317"/>
      <c r="I307" s="317" t="s">
        <v>405</v>
      </c>
      <c r="J307" s="317" t="s">
        <v>406</v>
      </c>
    </row>
    <row r="308" spans="1:10" ht="15" x14ac:dyDescent="0.25">
      <c r="A308" s="317">
        <v>190</v>
      </c>
      <c r="B308" s="12" t="s">
        <v>183</v>
      </c>
      <c r="C308" s="12">
        <f t="shared" si="3"/>
        <v>0</v>
      </c>
      <c r="D308" s="12" t="s">
        <v>516</v>
      </c>
      <c r="E308" s="13">
        <v>21.523727999999998</v>
      </c>
      <c r="F308" s="14">
        <v>30</v>
      </c>
      <c r="G308" s="317"/>
      <c r="H308" s="317"/>
      <c r="I308" s="317" t="s">
        <v>513</v>
      </c>
      <c r="J308" s="317" t="s">
        <v>514</v>
      </c>
    </row>
    <row r="309" spans="1:10" ht="15" x14ac:dyDescent="0.25">
      <c r="A309" s="317">
        <v>191</v>
      </c>
      <c r="B309" s="12" t="s">
        <v>183</v>
      </c>
      <c r="C309" s="12">
        <f t="shared" si="3"/>
        <v>0</v>
      </c>
      <c r="D309" s="12" t="s">
        <v>517</v>
      </c>
      <c r="E309" s="13">
        <v>13.144080000000001</v>
      </c>
      <c r="F309" s="14">
        <v>40</v>
      </c>
      <c r="G309" s="317"/>
      <c r="H309" s="317"/>
      <c r="I309" s="317" t="s">
        <v>513</v>
      </c>
      <c r="J309" s="317" t="s">
        <v>514</v>
      </c>
    </row>
    <row r="310" spans="1:10" ht="15" x14ac:dyDescent="0.25">
      <c r="A310" s="317">
        <v>192</v>
      </c>
      <c r="B310" s="12" t="s">
        <v>183</v>
      </c>
      <c r="C310" s="12">
        <f t="shared" si="3"/>
        <v>0</v>
      </c>
      <c r="D310" s="12" t="s">
        <v>518</v>
      </c>
      <c r="E310" s="13">
        <v>15.357168</v>
      </c>
      <c r="F310" s="14">
        <v>36</v>
      </c>
      <c r="G310" s="317"/>
      <c r="H310" s="317"/>
      <c r="I310" s="317" t="s">
        <v>513</v>
      </c>
      <c r="J310" s="317" t="s">
        <v>514</v>
      </c>
    </row>
    <row r="311" spans="1:10" ht="15" x14ac:dyDescent="0.25">
      <c r="A311" s="317">
        <v>193</v>
      </c>
      <c r="B311" s="12" t="s">
        <v>183</v>
      </c>
      <c r="C311" s="12">
        <f t="shared" ref="C311:C346" si="4">IF(B311=activestate,IF(B311=activestate,C310+1,1),0)</f>
        <v>0</v>
      </c>
      <c r="D311" s="12" t="s">
        <v>519</v>
      </c>
      <c r="E311" s="13">
        <v>24.154536</v>
      </c>
      <c r="F311" s="14">
        <v>25</v>
      </c>
      <c r="G311" s="317"/>
      <c r="H311" s="317"/>
      <c r="I311" s="317" t="s">
        <v>317</v>
      </c>
      <c r="J311" s="317" t="s">
        <v>318</v>
      </c>
    </row>
    <row r="312" spans="1:10" ht="15" x14ac:dyDescent="0.25">
      <c r="A312" s="317">
        <v>194</v>
      </c>
      <c r="B312" s="12" t="s">
        <v>183</v>
      </c>
      <c r="C312" s="12">
        <f t="shared" si="4"/>
        <v>0</v>
      </c>
      <c r="D312" s="12" t="s">
        <v>520</v>
      </c>
      <c r="E312" s="13">
        <v>27.312575999999996</v>
      </c>
      <c r="F312" s="14">
        <v>24</v>
      </c>
      <c r="G312" s="317"/>
      <c r="H312" s="317"/>
      <c r="I312" s="317" t="s">
        <v>513</v>
      </c>
      <c r="J312" s="317" t="s">
        <v>514</v>
      </c>
    </row>
    <row r="313" spans="1:10" ht="15" x14ac:dyDescent="0.25">
      <c r="A313" s="317">
        <v>195</v>
      </c>
      <c r="B313" s="12" t="s">
        <v>183</v>
      </c>
      <c r="C313" s="12">
        <f t="shared" si="4"/>
        <v>0</v>
      </c>
      <c r="D313" s="12" t="s">
        <v>521</v>
      </c>
      <c r="E313" s="13">
        <v>19.807152000000002</v>
      </c>
      <c r="F313" s="14">
        <v>32.5</v>
      </c>
      <c r="G313" s="317"/>
      <c r="H313" s="317"/>
      <c r="I313" s="317" t="s">
        <v>513</v>
      </c>
      <c r="J313" s="317" t="s">
        <v>514</v>
      </c>
    </row>
    <row r="314" spans="1:10" x14ac:dyDescent="0.2">
      <c r="A314" s="317">
        <v>196</v>
      </c>
      <c r="B314" s="12" t="s">
        <v>183</v>
      </c>
      <c r="C314" s="12">
        <f t="shared" si="4"/>
        <v>0</v>
      </c>
      <c r="D314" s="12" t="s">
        <v>522</v>
      </c>
      <c r="E314" s="13">
        <v>37.668168000000001</v>
      </c>
      <c r="F314" s="373">
        <v>17.5</v>
      </c>
      <c r="G314" s="317"/>
      <c r="H314" s="317"/>
      <c r="I314" s="317" t="s">
        <v>513</v>
      </c>
      <c r="J314" s="317" t="s">
        <v>514</v>
      </c>
    </row>
    <row r="315" spans="1:10" ht="15" x14ac:dyDescent="0.25">
      <c r="A315" s="317">
        <v>197</v>
      </c>
      <c r="B315" s="12" t="s">
        <v>183</v>
      </c>
      <c r="C315" s="12">
        <f t="shared" si="4"/>
        <v>0</v>
      </c>
      <c r="D315" s="12" t="s">
        <v>523</v>
      </c>
      <c r="E315" s="13">
        <v>24.164928000000003</v>
      </c>
      <c r="F315" s="14">
        <v>27</v>
      </c>
      <c r="G315" s="317"/>
      <c r="H315" s="317"/>
      <c r="I315" s="317" t="s">
        <v>313</v>
      </c>
      <c r="J315" s="317" t="s">
        <v>314</v>
      </c>
    </row>
    <row r="316" spans="1:10" ht="15" x14ac:dyDescent="0.25">
      <c r="A316" s="317">
        <v>198</v>
      </c>
      <c r="B316" s="12" t="s">
        <v>183</v>
      </c>
      <c r="C316" s="12">
        <f t="shared" si="4"/>
        <v>0</v>
      </c>
      <c r="D316" s="12" t="s">
        <v>524</v>
      </c>
      <c r="E316" s="13">
        <v>30.533472000000003</v>
      </c>
      <c r="F316" s="14">
        <v>22</v>
      </c>
      <c r="G316" s="317"/>
      <c r="H316" s="317"/>
      <c r="I316" s="317" t="s">
        <v>513</v>
      </c>
      <c r="J316" s="317" t="s">
        <v>514</v>
      </c>
    </row>
    <row r="317" spans="1:10" ht="15" x14ac:dyDescent="0.25">
      <c r="A317" s="317">
        <v>199</v>
      </c>
      <c r="B317" s="12" t="s">
        <v>183</v>
      </c>
      <c r="C317" s="12">
        <f t="shared" si="4"/>
        <v>0</v>
      </c>
      <c r="D317" s="12" t="s">
        <v>525</v>
      </c>
      <c r="E317" s="13">
        <v>32.623511999999998</v>
      </c>
      <c r="F317" s="14">
        <v>24</v>
      </c>
      <c r="G317" s="317"/>
      <c r="H317" s="317"/>
      <c r="I317" s="317" t="s">
        <v>513</v>
      </c>
      <c r="J317" s="317" t="s">
        <v>514</v>
      </c>
    </row>
    <row r="318" spans="1:10" ht="15" x14ac:dyDescent="0.25">
      <c r="A318" s="317">
        <v>200</v>
      </c>
      <c r="B318" s="12" t="s">
        <v>183</v>
      </c>
      <c r="C318" s="12">
        <f t="shared" si="4"/>
        <v>0</v>
      </c>
      <c r="D318" s="12" t="s">
        <v>526</v>
      </c>
      <c r="E318" s="13">
        <v>16.445376</v>
      </c>
      <c r="F318" s="14">
        <v>33</v>
      </c>
      <c r="G318" s="317"/>
      <c r="H318" s="317"/>
      <c r="I318" s="317" t="s">
        <v>513</v>
      </c>
      <c r="J318" s="317" t="s">
        <v>514</v>
      </c>
    </row>
    <row r="319" spans="1:10" ht="15" x14ac:dyDescent="0.25">
      <c r="A319" s="317">
        <v>201</v>
      </c>
      <c r="B319" s="12" t="s">
        <v>183</v>
      </c>
      <c r="C319" s="12">
        <f t="shared" si="4"/>
        <v>0</v>
      </c>
      <c r="D319" s="12" t="s">
        <v>527</v>
      </c>
      <c r="E319" s="13">
        <v>27.388343999999996</v>
      </c>
      <c r="F319" s="14">
        <v>26</v>
      </c>
      <c r="G319" s="317"/>
      <c r="H319" s="317"/>
      <c r="I319" s="317" t="s">
        <v>513</v>
      </c>
      <c r="J319" s="317" t="s">
        <v>514</v>
      </c>
    </row>
    <row r="320" spans="1:10" ht="15" x14ac:dyDescent="0.25">
      <c r="A320" s="317">
        <v>202</v>
      </c>
      <c r="B320" s="12" t="s">
        <v>183</v>
      </c>
      <c r="C320" s="12">
        <f t="shared" si="4"/>
        <v>0</v>
      </c>
      <c r="D320" s="12" t="s">
        <v>528</v>
      </c>
      <c r="E320" s="13">
        <v>38.54712</v>
      </c>
      <c r="F320" s="14">
        <v>19</v>
      </c>
      <c r="G320" s="317"/>
      <c r="H320" s="317"/>
      <c r="I320" s="317" t="s">
        <v>513</v>
      </c>
      <c r="J320" s="317" t="s">
        <v>514</v>
      </c>
    </row>
    <row r="321" spans="1:10" ht="15" x14ac:dyDescent="0.25">
      <c r="A321" s="317">
        <v>203</v>
      </c>
      <c r="B321" s="12" t="s">
        <v>185</v>
      </c>
      <c r="C321" s="12">
        <f t="shared" si="4"/>
        <v>0</v>
      </c>
      <c r="D321" s="12" t="s">
        <v>529</v>
      </c>
      <c r="E321" s="13">
        <v>43.593119999999999</v>
      </c>
      <c r="F321" s="14">
        <v>8</v>
      </c>
      <c r="G321" s="317"/>
      <c r="H321" s="317"/>
      <c r="I321" s="317" t="s">
        <v>377</v>
      </c>
      <c r="J321" s="317" t="s">
        <v>378</v>
      </c>
    </row>
    <row r="322" spans="1:10" ht="15" x14ac:dyDescent="0.25">
      <c r="A322" s="317">
        <v>204</v>
      </c>
      <c r="B322" s="12" t="s">
        <v>185</v>
      </c>
      <c r="C322" s="12">
        <f t="shared" si="4"/>
        <v>0</v>
      </c>
      <c r="D322" s="12" t="s">
        <v>530</v>
      </c>
      <c r="E322" s="13">
        <v>44.005344000000008</v>
      </c>
      <c r="F322" s="14">
        <v>11</v>
      </c>
      <c r="G322" s="317"/>
      <c r="H322" s="317"/>
      <c r="I322" s="317" t="s">
        <v>377</v>
      </c>
      <c r="J322" s="317" t="s">
        <v>378</v>
      </c>
    </row>
    <row r="323" spans="1:10" ht="15" x14ac:dyDescent="0.25">
      <c r="A323" s="317">
        <v>205</v>
      </c>
      <c r="B323" s="12" t="s">
        <v>187</v>
      </c>
      <c r="C323" s="12">
        <f t="shared" si="4"/>
        <v>0</v>
      </c>
      <c r="D323" s="12" t="s">
        <v>531</v>
      </c>
      <c r="E323" s="13">
        <v>39.168864000000006</v>
      </c>
      <c r="F323" s="14">
        <v>17</v>
      </c>
      <c r="G323" s="317"/>
      <c r="H323" s="317"/>
      <c r="I323" s="317" t="s">
        <v>381</v>
      </c>
      <c r="J323" s="317" t="s">
        <v>382</v>
      </c>
    </row>
    <row r="324" spans="1:10" ht="15" x14ac:dyDescent="0.25">
      <c r="A324" s="317">
        <v>206</v>
      </c>
      <c r="B324" s="430" t="s">
        <v>187</v>
      </c>
      <c r="C324" s="430">
        <f t="shared" si="4"/>
        <v>0</v>
      </c>
      <c r="D324" s="430" t="s">
        <v>452</v>
      </c>
      <c r="E324" s="431">
        <v>32.913143999999996</v>
      </c>
      <c r="F324" s="432">
        <v>24</v>
      </c>
      <c r="G324" s="383"/>
      <c r="H324" s="383"/>
      <c r="I324" s="383" t="s">
        <v>442</v>
      </c>
      <c r="J324" s="317" t="s">
        <v>443</v>
      </c>
    </row>
    <row r="325" spans="1:10" ht="15" x14ac:dyDescent="0.25">
      <c r="A325" s="317">
        <v>207</v>
      </c>
      <c r="B325" s="12" t="s">
        <v>187</v>
      </c>
      <c r="C325" s="12">
        <f t="shared" si="4"/>
        <v>0</v>
      </c>
      <c r="D325" s="12" t="s">
        <v>532</v>
      </c>
      <c r="E325" s="13">
        <v>34.488624000000002</v>
      </c>
      <c r="F325" s="14">
        <v>18</v>
      </c>
      <c r="G325" s="317"/>
      <c r="H325" s="317"/>
      <c r="I325" s="317" t="s">
        <v>442</v>
      </c>
      <c r="J325" s="317" t="s">
        <v>443</v>
      </c>
    </row>
    <row r="326" spans="1:10" x14ac:dyDescent="0.2">
      <c r="A326" s="317">
        <v>208</v>
      </c>
      <c r="B326" s="12" t="s">
        <v>187</v>
      </c>
      <c r="C326" s="12">
        <f t="shared" si="4"/>
        <v>0</v>
      </c>
      <c r="D326" s="12" t="s">
        <v>533</v>
      </c>
      <c r="E326" s="13">
        <v>39.257040000000003</v>
      </c>
      <c r="F326" s="373">
        <v>17</v>
      </c>
      <c r="G326" s="317"/>
      <c r="H326" s="317"/>
      <c r="I326" s="317" t="s">
        <v>381</v>
      </c>
      <c r="J326" s="317" t="s">
        <v>382</v>
      </c>
    </row>
    <row r="327" spans="1:10" ht="15" x14ac:dyDescent="0.25">
      <c r="A327" s="317">
        <v>209</v>
      </c>
      <c r="B327" s="12" t="s">
        <v>187</v>
      </c>
      <c r="C327" s="12">
        <f t="shared" si="4"/>
        <v>0</v>
      </c>
      <c r="D327" s="12" t="s">
        <v>534</v>
      </c>
      <c r="E327" s="13">
        <v>50.067575999999988</v>
      </c>
      <c r="F327" s="14">
        <v>14</v>
      </c>
      <c r="G327" s="317"/>
      <c r="H327" s="317"/>
      <c r="I327" s="317" t="s">
        <v>442</v>
      </c>
      <c r="J327" s="317" t="s">
        <v>443</v>
      </c>
    </row>
    <row r="328" spans="1:10" ht="15" x14ac:dyDescent="0.25">
      <c r="A328" s="317">
        <v>210</v>
      </c>
      <c r="B328" s="12" t="s">
        <v>189</v>
      </c>
      <c r="C328" s="12">
        <f t="shared" si="4"/>
        <v>0</v>
      </c>
      <c r="D328" s="12" t="s">
        <v>535</v>
      </c>
      <c r="E328" s="13">
        <v>70.032960000000003</v>
      </c>
      <c r="F328" s="14">
        <v>-6</v>
      </c>
      <c r="G328" s="317"/>
      <c r="H328" s="317"/>
      <c r="I328" s="317" t="s">
        <v>341</v>
      </c>
      <c r="J328" s="317" t="s">
        <v>342</v>
      </c>
    </row>
    <row r="329" spans="1:10" ht="15" x14ac:dyDescent="0.25">
      <c r="A329" s="317">
        <v>211</v>
      </c>
      <c r="B329" s="12" t="s">
        <v>191</v>
      </c>
      <c r="C329" s="12">
        <f t="shared" si="4"/>
        <v>0</v>
      </c>
      <c r="D329" s="12" t="s">
        <v>536</v>
      </c>
      <c r="E329" s="13">
        <v>42.373583999999994</v>
      </c>
      <c r="F329" s="14">
        <v>23</v>
      </c>
      <c r="G329" s="317"/>
      <c r="H329" s="317"/>
      <c r="I329" s="317" t="s">
        <v>377</v>
      </c>
      <c r="J329" s="317" t="s">
        <v>378</v>
      </c>
    </row>
    <row r="330" spans="1:10" ht="15" x14ac:dyDescent="0.25">
      <c r="A330" s="317">
        <v>212</v>
      </c>
      <c r="B330" s="12" t="s">
        <v>191</v>
      </c>
      <c r="C330" s="12">
        <f t="shared" si="4"/>
        <v>0</v>
      </c>
      <c r="D330" s="12" t="s">
        <v>537</v>
      </c>
      <c r="E330" s="13">
        <v>36.172008000000005</v>
      </c>
      <c r="F330" s="14">
        <v>27</v>
      </c>
      <c r="G330" s="317"/>
      <c r="H330" s="317"/>
      <c r="I330" s="317" t="s">
        <v>377</v>
      </c>
      <c r="J330" s="317" t="s">
        <v>378</v>
      </c>
    </row>
    <row r="331" spans="1:10" ht="15" x14ac:dyDescent="0.25">
      <c r="A331" s="317">
        <v>213</v>
      </c>
      <c r="B331" s="12" t="s">
        <v>191</v>
      </c>
      <c r="C331" s="12">
        <f t="shared" si="4"/>
        <v>0</v>
      </c>
      <c r="D331" s="12" t="s">
        <v>538</v>
      </c>
      <c r="E331" s="13">
        <v>37.623503999999997</v>
      </c>
      <c r="F331" s="14">
        <v>28</v>
      </c>
      <c r="G331" s="317"/>
      <c r="H331" s="317"/>
      <c r="I331" s="317" t="s">
        <v>377</v>
      </c>
      <c r="J331" s="317" t="s">
        <v>378</v>
      </c>
    </row>
    <row r="332" spans="1:10" ht="15" x14ac:dyDescent="0.25">
      <c r="A332" s="317">
        <v>214</v>
      </c>
      <c r="B332" s="12" t="s">
        <v>191</v>
      </c>
      <c r="C332" s="12">
        <f t="shared" si="4"/>
        <v>0</v>
      </c>
      <c r="D332" s="12" t="s">
        <v>539</v>
      </c>
      <c r="E332" s="13">
        <v>55.130375999999991</v>
      </c>
      <c r="F332" s="14">
        <v>7</v>
      </c>
      <c r="G332" s="317"/>
      <c r="H332" s="317"/>
      <c r="I332" s="317" t="s">
        <v>377</v>
      </c>
      <c r="J332" s="317" t="s">
        <v>378</v>
      </c>
    </row>
    <row r="333" spans="1:10" ht="15" x14ac:dyDescent="0.25">
      <c r="A333" s="317">
        <v>215</v>
      </c>
      <c r="B333" s="12" t="s">
        <v>191</v>
      </c>
      <c r="C333" s="12">
        <f t="shared" si="4"/>
        <v>0</v>
      </c>
      <c r="D333" s="12" t="s">
        <v>540</v>
      </c>
      <c r="E333" s="13">
        <v>48.388151999999998</v>
      </c>
      <c r="F333" s="14">
        <v>11</v>
      </c>
      <c r="G333" s="317"/>
      <c r="H333" s="317"/>
      <c r="I333" s="317" t="s">
        <v>377</v>
      </c>
      <c r="J333" s="317" t="s">
        <v>378</v>
      </c>
    </row>
    <row r="334" spans="1:10" ht="15" x14ac:dyDescent="0.25">
      <c r="A334" s="317">
        <v>216</v>
      </c>
      <c r="B334" s="12" t="s">
        <v>193</v>
      </c>
      <c r="C334" s="12">
        <f t="shared" si="4"/>
        <v>0</v>
      </c>
      <c r="D334" s="12" t="s">
        <v>541</v>
      </c>
      <c r="E334" s="13">
        <v>77.629103999999998</v>
      </c>
      <c r="F334" s="14">
        <v>-13</v>
      </c>
      <c r="G334" s="317"/>
      <c r="H334" s="317"/>
      <c r="I334" s="317" t="s">
        <v>371</v>
      </c>
      <c r="J334" s="317" t="s">
        <v>372</v>
      </c>
    </row>
    <row r="335" spans="1:10" ht="15" x14ac:dyDescent="0.25">
      <c r="A335" s="317">
        <v>217</v>
      </c>
      <c r="B335" s="12" t="s">
        <v>193</v>
      </c>
      <c r="C335" s="12">
        <f t="shared" si="4"/>
        <v>0</v>
      </c>
      <c r="D335" s="12" t="s">
        <v>542</v>
      </c>
      <c r="E335" s="13">
        <v>76.195463999999987</v>
      </c>
      <c r="F335" s="14">
        <v>-8</v>
      </c>
      <c r="G335" s="317"/>
      <c r="H335" s="317"/>
      <c r="I335" s="317" t="s">
        <v>543</v>
      </c>
      <c r="J335" s="317" t="s">
        <v>544</v>
      </c>
    </row>
    <row r="336" spans="1:10" ht="15" x14ac:dyDescent="0.25">
      <c r="A336" s="317">
        <v>218</v>
      </c>
      <c r="B336" s="12" t="s">
        <v>193</v>
      </c>
      <c r="C336" s="12">
        <f t="shared" si="4"/>
        <v>0</v>
      </c>
      <c r="D336" s="12" t="s">
        <v>545</v>
      </c>
      <c r="E336" s="13">
        <v>68.448792000000012</v>
      </c>
      <c r="F336" s="14">
        <v>-8</v>
      </c>
      <c r="G336" s="317"/>
      <c r="H336" s="317"/>
      <c r="I336" s="317" t="s">
        <v>371</v>
      </c>
      <c r="J336" s="317" t="s">
        <v>372</v>
      </c>
    </row>
    <row r="337" spans="1:10" ht="15" x14ac:dyDescent="0.25">
      <c r="A337" s="317">
        <v>219</v>
      </c>
      <c r="B337" s="12" t="s">
        <v>193</v>
      </c>
      <c r="C337" s="12">
        <f t="shared" si="4"/>
        <v>0</v>
      </c>
      <c r="D337" s="12" t="s">
        <v>546</v>
      </c>
      <c r="E337" s="13">
        <v>65.382815999999991</v>
      </c>
      <c r="F337" s="14">
        <v>-6</v>
      </c>
      <c r="G337" s="317"/>
      <c r="H337" s="317"/>
      <c r="I337" s="317" t="s">
        <v>543</v>
      </c>
      <c r="J337" s="317" t="s">
        <v>544</v>
      </c>
    </row>
    <row r="338" spans="1:10" ht="15" x14ac:dyDescent="0.25">
      <c r="A338" s="317">
        <v>220</v>
      </c>
      <c r="B338" s="12" t="s">
        <v>193</v>
      </c>
      <c r="C338" s="12">
        <f t="shared" si="4"/>
        <v>0</v>
      </c>
      <c r="D338" s="12" t="s">
        <v>547</v>
      </c>
      <c r="E338" s="13">
        <v>68.645784000000006</v>
      </c>
      <c r="F338" s="14">
        <v>-2</v>
      </c>
      <c r="G338" s="317"/>
      <c r="H338" s="317"/>
      <c r="I338" s="317" t="s">
        <v>381</v>
      </c>
      <c r="J338" s="317" t="s">
        <v>382</v>
      </c>
    </row>
    <row r="339" spans="1:10" ht="15" x14ac:dyDescent="0.25">
      <c r="A339" s="317">
        <v>221</v>
      </c>
      <c r="B339" s="12" t="s">
        <v>195</v>
      </c>
      <c r="C339" s="12">
        <f t="shared" si="4"/>
        <v>0</v>
      </c>
      <c r="D339" s="12" t="s">
        <v>501</v>
      </c>
      <c r="E339" s="13">
        <v>42.644831999999994</v>
      </c>
      <c r="F339" s="14">
        <v>11</v>
      </c>
      <c r="G339" s="317"/>
      <c r="H339" s="317"/>
      <c r="I339" s="317" t="s">
        <v>442</v>
      </c>
      <c r="J339" s="317" t="s">
        <v>443</v>
      </c>
    </row>
    <row r="340" spans="1:10" ht="15" x14ac:dyDescent="0.25">
      <c r="A340" s="317">
        <v>222</v>
      </c>
      <c r="B340" s="12" t="s">
        <v>195</v>
      </c>
      <c r="C340" s="12">
        <f t="shared" si="4"/>
        <v>0</v>
      </c>
      <c r="D340" s="12" t="s">
        <v>548</v>
      </c>
      <c r="E340" s="13">
        <v>52.430064000000002</v>
      </c>
      <c r="F340" s="14">
        <v>5</v>
      </c>
      <c r="G340" s="317"/>
      <c r="H340" s="317"/>
      <c r="I340" s="317" t="s">
        <v>381</v>
      </c>
      <c r="J340" s="317" t="s">
        <v>382</v>
      </c>
    </row>
    <row r="341" spans="1:10" ht="15" x14ac:dyDescent="0.25">
      <c r="A341" s="317">
        <v>223</v>
      </c>
      <c r="B341" s="12" t="s">
        <v>195</v>
      </c>
      <c r="C341" s="12">
        <f t="shared" si="4"/>
        <v>0</v>
      </c>
      <c r="D341" s="12" t="s">
        <v>549</v>
      </c>
      <c r="E341" s="13">
        <v>43.979256000000007</v>
      </c>
      <c r="F341" s="14">
        <v>11</v>
      </c>
      <c r="G341" s="317"/>
      <c r="H341" s="317"/>
      <c r="I341" s="317" t="s">
        <v>381</v>
      </c>
      <c r="J341" s="317" t="s">
        <v>382</v>
      </c>
    </row>
    <row r="342" spans="1:10" ht="15" x14ac:dyDescent="0.25">
      <c r="A342" s="317">
        <v>224</v>
      </c>
      <c r="B342" s="12" t="s">
        <v>197</v>
      </c>
      <c r="C342" s="12">
        <f t="shared" si="4"/>
        <v>0</v>
      </c>
      <c r="D342" s="12" t="s">
        <v>550</v>
      </c>
      <c r="E342" s="13">
        <v>63.309023999999994</v>
      </c>
      <c r="F342" s="14">
        <v>-5</v>
      </c>
      <c r="G342" s="317"/>
      <c r="H342" s="317"/>
      <c r="I342" s="317" t="s">
        <v>335</v>
      </c>
      <c r="J342" s="317" t="s">
        <v>336</v>
      </c>
    </row>
    <row r="343" spans="1:10" ht="15" x14ac:dyDescent="0.25">
      <c r="A343" s="317">
        <v>225</v>
      </c>
      <c r="B343" s="12" t="s">
        <v>197</v>
      </c>
      <c r="C343" s="12">
        <f t="shared" si="4"/>
        <v>0</v>
      </c>
      <c r="D343" s="12" t="s">
        <v>551</v>
      </c>
      <c r="E343" s="13">
        <v>55.74148799999999</v>
      </c>
      <c r="F343" s="14">
        <v>0</v>
      </c>
      <c r="G343" s="317"/>
      <c r="H343" s="317"/>
      <c r="I343" s="317" t="s">
        <v>335</v>
      </c>
      <c r="J343" s="317" t="s">
        <v>336</v>
      </c>
    </row>
    <row r="344" spans="1:10" ht="15" x14ac:dyDescent="0.25">
      <c r="A344" s="317">
        <v>226</v>
      </c>
      <c r="B344" s="12" t="s">
        <v>197</v>
      </c>
      <c r="C344" s="12">
        <f t="shared" si="4"/>
        <v>0</v>
      </c>
      <c r="D344" s="12" t="s">
        <v>552</v>
      </c>
      <c r="E344" s="13">
        <v>53.530968000000001</v>
      </c>
      <c r="F344" s="14">
        <v>-7</v>
      </c>
      <c r="G344" s="317"/>
      <c r="H344" s="317"/>
      <c r="I344" s="317" t="s">
        <v>335</v>
      </c>
      <c r="J344" s="317" t="s">
        <v>336</v>
      </c>
    </row>
    <row r="345" spans="1:10" ht="15" x14ac:dyDescent="0.25">
      <c r="A345" s="317">
        <v>227</v>
      </c>
      <c r="B345" s="12" t="s">
        <v>197</v>
      </c>
      <c r="C345" s="12">
        <f t="shared" si="4"/>
        <v>0</v>
      </c>
      <c r="D345" s="12" t="s">
        <v>553</v>
      </c>
      <c r="E345" s="13">
        <v>64.767335999999986</v>
      </c>
      <c r="F345" s="14">
        <v>-2</v>
      </c>
      <c r="G345" s="317"/>
      <c r="H345" s="317"/>
      <c r="I345" s="317" t="s">
        <v>335</v>
      </c>
      <c r="J345" s="317" t="s">
        <v>336</v>
      </c>
    </row>
    <row r="346" spans="1:10" ht="15" x14ac:dyDescent="0.25">
      <c r="A346" s="317">
        <v>228</v>
      </c>
      <c r="B346" s="12" t="s">
        <v>197</v>
      </c>
      <c r="C346" s="12">
        <f t="shared" si="4"/>
        <v>0</v>
      </c>
      <c r="D346" s="12" t="s">
        <v>554</v>
      </c>
      <c r="E346" s="13">
        <v>58.832975999999988</v>
      </c>
      <c r="F346" s="14">
        <v>-8</v>
      </c>
      <c r="G346" s="317"/>
      <c r="H346" s="317"/>
      <c r="I346" s="317" t="s">
        <v>377</v>
      </c>
      <c r="J346" s="317" t="s">
        <v>378</v>
      </c>
    </row>
    <row r="350" spans="1:10" x14ac:dyDescent="0.2">
      <c r="A350" s="317"/>
      <c r="B350" s="317" t="s">
        <v>555</v>
      </c>
      <c r="C350" s="317"/>
      <c r="D350" s="317"/>
      <c r="E350" s="317"/>
      <c r="F350" s="317"/>
      <c r="G350" s="317"/>
      <c r="H350" s="317"/>
      <c r="I350" s="317"/>
      <c r="J350" s="317"/>
    </row>
    <row r="351" spans="1:10" x14ac:dyDescent="0.2">
      <c r="A351" s="317">
        <v>1</v>
      </c>
      <c r="B351" s="373">
        <v>2000</v>
      </c>
      <c r="C351" s="317"/>
      <c r="D351" s="317"/>
      <c r="E351" s="317"/>
      <c r="F351" s="317"/>
      <c r="G351" s="317"/>
      <c r="H351" s="317"/>
      <c r="I351" s="317"/>
      <c r="J351" s="317"/>
    </row>
    <row r="352" spans="1:10" x14ac:dyDescent="0.2">
      <c r="A352" s="317">
        <v>2</v>
      </c>
      <c r="B352" s="373">
        <v>3000</v>
      </c>
      <c r="C352" s="317"/>
      <c r="D352" s="317"/>
      <c r="E352" s="317"/>
      <c r="F352" s="317"/>
      <c r="G352" s="317"/>
      <c r="H352" s="317"/>
      <c r="I352" s="317"/>
      <c r="J352" s="317"/>
    </row>
    <row r="353" spans="1:6" x14ac:dyDescent="0.2">
      <c r="A353" s="317">
        <v>3</v>
      </c>
      <c r="B353" s="373">
        <v>4000</v>
      </c>
      <c r="C353" s="317"/>
      <c r="D353" s="317"/>
      <c r="E353" s="317"/>
      <c r="F353" s="317"/>
    </row>
    <row r="357" spans="1:6" x14ac:dyDescent="0.2">
      <c r="A357" s="317">
        <v>1</v>
      </c>
      <c r="B357" s="317" t="s">
        <v>556</v>
      </c>
      <c r="C357" s="317"/>
      <c r="D357" s="317"/>
      <c r="E357" s="317"/>
      <c r="F357" s="317"/>
    </row>
    <row r="358" spans="1:6" x14ac:dyDescent="0.2">
      <c r="A358" s="317">
        <v>2</v>
      </c>
      <c r="B358" s="317" t="s">
        <v>557</v>
      </c>
      <c r="C358" s="317"/>
      <c r="D358" s="317"/>
      <c r="E358" s="317"/>
      <c r="F358" s="317"/>
    </row>
  </sheetData>
  <mergeCells count="1">
    <mergeCell ref="I118:J118"/>
  </mergeCells>
  <phoneticPr fontId="0" type="noConversion"/>
  <hyperlinks>
    <hyperlink ref="D90" r:id="rId1" xr:uid="{D5CADEE1-0B1A-49FF-B932-5BC395935A2F}"/>
    <hyperlink ref="D88" r:id="rId2" xr:uid="{420F3A53-5DDA-412C-AB0A-EBC0A1FE4418}"/>
    <hyperlink ref="F90" r:id="rId3" xr:uid="{4C2C1C64-A686-4F23-81D7-4A5E7D5B6718}"/>
    <hyperlink ref="E90" r:id="rId4" xr:uid="{2288562E-CC98-490C-A2D0-6243F8B002B3}"/>
    <hyperlink ref="E104" r:id="rId5" xr:uid="{8F182C63-A74B-40DB-BF9B-B2E003C18FA7}"/>
    <hyperlink ref="E105" r:id="rId6" xr:uid="{F06BACD2-732C-46FB-AD5E-C68FFB37AFC6}"/>
    <hyperlink ref="E106" r:id="rId7" xr:uid="{0F269F47-096C-4DDC-966D-3ECF3F454F13}"/>
    <hyperlink ref="E107" r:id="rId8" xr:uid="{4B52B37D-70D4-4AE8-9157-19271C143505}"/>
    <hyperlink ref="E97" r:id="rId9" xr:uid="{F2CB5007-80A9-44FA-B692-55A774D8C2BF}"/>
    <hyperlink ref="E96" r:id="rId10" xr:uid="{6A9B70E8-43CE-42E4-AD0C-A043386B42F6}"/>
    <hyperlink ref="E95" r:id="rId11" xr:uid="{39AA415A-9B8C-4F67-AD35-F6C90FFC1EFE}"/>
    <hyperlink ref="E98" r:id="rId12" xr:uid="{BE71059E-BAE8-4E0E-AE24-15A764B3AB9C}"/>
    <hyperlink ref="E99" r:id="rId13" xr:uid="{A5D3F06A-6C62-4E15-AC38-0B348943DD2F}"/>
    <hyperlink ref="E100" r:id="rId14" xr:uid="{60751812-4629-4D99-B9EE-3087E0111022}"/>
  </hyperlinks>
  <pageMargins left="0.75" right="0.75" top="1" bottom="1" header="0.5" footer="0.5"/>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07E779-7AF3-4C30-B991-464215A9EC21}">
  <sheetPr codeName="Sheet4"/>
  <dimension ref="A1:K243"/>
  <sheetViews>
    <sheetView workbookViewId="0">
      <selection activeCell="F52" sqref="F52"/>
    </sheetView>
  </sheetViews>
  <sheetFormatPr defaultColWidth="9.140625" defaultRowHeight="12.75" x14ac:dyDescent="0.2"/>
  <cols>
    <col min="1" max="1" width="9.140625" style="3"/>
    <col min="2" max="2" width="10.5703125" style="3" customWidth="1"/>
    <col min="3" max="3" width="14.140625" style="3" customWidth="1"/>
    <col min="4" max="4" width="13" style="3" customWidth="1"/>
    <col min="5" max="6" width="13.42578125" style="3" customWidth="1"/>
    <col min="7" max="7" width="13.5703125" style="3" customWidth="1"/>
    <col min="8" max="10" width="9.140625" style="3"/>
    <col min="11" max="11" width="13.42578125" style="3" customWidth="1"/>
    <col min="12" max="16384" width="9.140625" style="3"/>
  </cols>
  <sheetData>
    <row r="1" spans="1:11" x14ac:dyDescent="0.2">
      <c r="A1" s="317"/>
      <c r="B1" s="317"/>
      <c r="C1" s="317"/>
      <c r="D1" s="317" t="s">
        <v>558</v>
      </c>
      <c r="E1" s="317" t="s">
        <v>559</v>
      </c>
      <c r="F1" s="317" t="s">
        <v>560</v>
      </c>
      <c r="G1" s="317" t="s">
        <v>561</v>
      </c>
      <c r="H1" s="317" t="s">
        <v>562</v>
      </c>
      <c r="I1" s="317" t="s">
        <v>563</v>
      </c>
      <c r="J1" s="317"/>
      <c r="K1" s="317" t="s">
        <v>564</v>
      </c>
    </row>
    <row r="2" spans="1:11" x14ac:dyDescent="0.2">
      <c r="A2" s="317"/>
      <c r="B2" s="375" t="str">
        <f>activestate</f>
        <v>US</v>
      </c>
      <c r="C2" s="375" t="str">
        <f>LOOKUP(city,Lists!G119:G133,Lists!H119:H133)</f>
        <v/>
      </c>
      <c r="D2" s="317"/>
      <c r="E2" s="376">
        <f>VLOOKUP(1,B4:E243,4,0)</f>
        <v>49.469595263157885</v>
      </c>
      <c r="F2" s="376">
        <f>VLOOKUP(1,B4:F243,5,0)</f>
        <v>65.263807999999955</v>
      </c>
      <c r="G2" s="376">
        <f>VLOOKUP(1,B4:G243,6,0)</f>
        <v>80.04382378947372</v>
      </c>
      <c r="H2" s="377">
        <f>SLOPE(E2:G2,homesize)</f>
        <v>1.5287114263157917E-2</v>
      </c>
      <c r="I2" s="378">
        <f>INTERCEPT(E2:G2,homesize)</f>
        <v>19.064399561403434</v>
      </c>
      <c r="J2" s="378"/>
      <c r="K2" s="378">
        <f>(sqft*H2)+I2</f>
        <v>49.638628087719269</v>
      </c>
    </row>
    <row r="3" spans="1:11" ht="38.25" x14ac:dyDescent="0.2">
      <c r="A3" s="317"/>
      <c r="B3" s="317" t="s">
        <v>565</v>
      </c>
      <c r="C3" s="7" t="s">
        <v>82</v>
      </c>
      <c r="D3" s="7" t="s">
        <v>282</v>
      </c>
      <c r="E3" s="16" t="s">
        <v>566</v>
      </c>
      <c r="F3" s="16" t="s">
        <v>567</v>
      </c>
      <c r="G3" s="16" t="s">
        <v>568</v>
      </c>
      <c r="H3" s="317"/>
      <c r="I3" s="317"/>
      <c r="J3" s="317"/>
      <c r="K3" s="317"/>
    </row>
    <row r="4" spans="1:11" x14ac:dyDescent="0.2">
      <c r="A4" s="317">
        <v>1</v>
      </c>
      <c r="B4" s="317">
        <f t="shared" ref="B4:B67" si="0">IF(C4=activestate,IF(D4=C$2,1,0),0)</f>
        <v>0</v>
      </c>
      <c r="C4" s="317" t="s">
        <v>88</v>
      </c>
      <c r="D4" s="317" t="s">
        <v>286</v>
      </c>
      <c r="E4" s="379">
        <v>89.101272000000009</v>
      </c>
      <c r="F4" s="380">
        <v>117.44049599999998</v>
      </c>
      <c r="G4" s="380">
        <v>144.55022399999999</v>
      </c>
      <c r="H4" s="317"/>
      <c r="I4" s="317"/>
      <c r="J4" s="317"/>
      <c r="K4" s="317"/>
    </row>
    <row r="5" spans="1:11" x14ac:dyDescent="0.2">
      <c r="A5" s="317">
        <v>2</v>
      </c>
      <c r="B5" s="317">
        <f t="shared" si="0"/>
        <v>0</v>
      </c>
      <c r="C5" s="317" t="s">
        <v>88</v>
      </c>
      <c r="D5" s="317" t="s">
        <v>289</v>
      </c>
      <c r="E5" s="379">
        <v>52.489176</v>
      </c>
      <c r="F5" s="380">
        <v>68.840400000000002</v>
      </c>
      <c r="G5" s="380">
        <v>84.332808</v>
      </c>
      <c r="H5" s="317"/>
      <c r="I5" s="317"/>
      <c r="J5" s="317"/>
      <c r="K5" s="317"/>
    </row>
    <row r="6" spans="1:11" x14ac:dyDescent="0.2">
      <c r="A6" s="317">
        <v>3</v>
      </c>
      <c r="B6" s="317">
        <f t="shared" si="0"/>
        <v>0</v>
      </c>
      <c r="C6" s="317" t="s">
        <v>88</v>
      </c>
      <c r="D6" s="317" t="s">
        <v>292</v>
      </c>
      <c r="E6" s="379">
        <v>130.026096</v>
      </c>
      <c r="F6" s="380">
        <v>173.18315999999999</v>
      </c>
      <c r="G6" s="380">
        <v>213.789072</v>
      </c>
      <c r="H6" s="317"/>
      <c r="I6" s="317"/>
      <c r="J6" s="317"/>
      <c r="K6" s="317"/>
    </row>
    <row r="7" spans="1:11" x14ac:dyDescent="0.2">
      <c r="A7" s="317">
        <v>4</v>
      </c>
      <c r="B7" s="317">
        <f t="shared" si="0"/>
        <v>0</v>
      </c>
      <c r="C7" s="317" t="s">
        <v>88</v>
      </c>
      <c r="D7" s="317" t="s">
        <v>293</v>
      </c>
      <c r="E7" s="379">
        <v>130.79267999999999</v>
      </c>
      <c r="F7" s="380">
        <v>173.33462399999999</v>
      </c>
      <c r="G7" s="380">
        <v>212.44766400000003</v>
      </c>
      <c r="H7" s="317"/>
      <c r="I7" s="317"/>
      <c r="J7" s="317"/>
      <c r="K7" s="317"/>
    </row>
    <row r="8" spans="1:11" x14ac:dyDescent="0.2">
      <c r="A8" s="317">
        <v>5</v>
      </c>
      <c r="B8" s="317">
        <f t="shared" si="0"/>
        <v>0</v>
      </c>
      <c r="C8" s="317" t="s">
        <v>88</v>
      </c>
      <c r="D8" s="317" t="s">
        <v>294</v>
      </c>
      <c r="E8" s="379">
        <v>90.597239999999999</v>
      </c>
      <c r="F8" s="380">
        <v>119.39068800000001</v>
      </c>
      <c r="G8" s="380">
        <v>145.48883999999998</v>
      </c>
      <c r="H8" s="317"/>
      <c r="I8" s="317"/>
      <c r="J8" s="317"/>
      <c r="K8" s="317"/>
    </row>
    <row r="9" spans="1:11" x14ac:dyDescent="0.2">
      <c r="A9" s="317">
        <v>6</v>
      </c>
      <c r="B9" s="317">
        <f t="shared" si="0"/>
        <v>0</v>
      </c>
      <c r="C9" s="317" t="s">
        <v>88</v>
      </c>
      <c r="D9" s="317" t="s">
        <v>295</v>
      </c>
      <c r="E9" s="379">
        <v>138.521424</v>
      </c>
      <c r="F9" s="380">
        <v>182.28103200000001</v>
      </c>
      <c r="G9" s="380">
        <v>225.53659200000004</v>
      </c>
      <c r="H9" s="317"/>
      <c r="I9" s="317"/>
      <c r="J9" s="317"/>
      <c r="K9" s="317"/>
    </row>
    <row r="10" spans="1:11" x14ac:dyDescent="0.2">
      <c r="A10" s="317">
        <v>7</v>
      </c>
      <c r="B10" s="317">
        <f t="shared" si="0"/>
        <v>0</v>
      </c>
      <c r="C10" s="317" t="s">
        <v>88</v>
      </c>
      <c r="D10" s="317" t="s">
        <v>296</v>
      </c>
      <c r="E10" s="379">
        <v>125.008488</v>
      </c>
      <c r="F10" s="380">
        <v>164.884896</v>
      </c>
      <c r="G10" s="380">
        <v>203.18772000000001</v>
      </c>
      <c r="H10" s="317"/>
      <c r="I10" s="317"/>
      <c r="J10" s="317"/>
      <c r="K10" s="317"/>
    </row>
    <row r="11" spans="1:11" x14ac:dyDescent="0.2">
      <c r="A11" s="317">
        <v>8</v>
      </c>
      <c r="B11" s="317">
        <f t="shared" si="0"/>
        <v>0</v>
      </c>
      <c r="C11" s="317" t="s">
        <v>88</v>
      </c>
      <c r="D11" s="317" t="s">
        <v>297</v>
      </c>
      <c r="E11" s="379">
        <v>103.70272799999998</v>
      </c>
      <c r="F11" s="380">
        <v>136.59804</v>
      </c>
      <c r="G11" s="380">
        <v>168.18247200000002</v>
      </c>
      <c r="H11" s="317"/>
      <c r="I11" s="317"/>
      <c r="J11" s="317"/>
      <c r="K11" s="317"/>
    </row>
    <row r="12" spans="1:11" x14ac:dyDescent="0.2">
      <c r="A12" s="317">
        <v>9</v>
      </c>
      <c r="B12" s="317">
        <f t="shared" si="0"/>
        <v>0</v>
      </c>
      <c r="C12" s="317" t="s">
        <v>88</v>
      </c>
      <c r="D12" s="317" t="s">
        <v>298</v>
      </c>
      <c r="E12" s="379">
        <v>71.07996</v>
      </c>
      <c r="F12" s="380">
        <v>93.198120000000003</v>
      </c>
      <c r="G12" s="380">
        <v>114.294336</v>
      </c>
      <c r="H12" s="317"/>
      <c r="I12" s="317"/>
      <c r="J12" s="317"/>
      <c r="K12" s="317"/>
    </row>
    <row r="13" spans="1:11" x14ac:dyDescent="0.2">
      <c r="A13" s="317">
        <v>10</v>
      </c>
      <c r="B13" s="317">
        <f t="shared" si="0"/>
        <v>0</v>
      </c>
      <c r="C13" s="317" t="s">
        <v>88</v>
      </c>
      <c r="D13" s="317" t="s">
        <v>299</v>
      </c>
      <c r="E13" s="379">
        <v>135.15578400000001</v>
      </c>
      <c r="F13" s="380">
        <v>177.43106399999999</v>
      </c>
      <c r="G13" s="380">
        <v>219.12885600000001</v>
      </c>
      <c r="H13" s="317"/>
      <c r="I13" s="317"/>
      <c r="J13" s="317"/>
      <c r="K13" s="317"/>
    </row>
    <row r="14" spans="1:11" x14ac:dyDescent="0.2">
      <c r="A14" s="317">
        <v>11</v>
      </c>
      <c r="B14" s="317">
        <f t="shared" si="0"/>
        <v>0</v>
      </c>
      <c r="C14" s="317" t="s">
        <v>88</v>
      </c>
      <c r="D14" s="317" t="s">
        <v>300</v>
      </c>
      <c r="E14" s="379">
        <v>133.41172799999998</v>
      </c>
      <c r="F14" s="380">
        <v>176.02452000000002</v>
      </c>
      <c r="G14" s="380">
        <v>214.98792</v>
      </c>
      <c r="H14" s="317"/>
      <c r="I14" s="317"/>
      <c r="J14" s="317"/>
      <c r="K14" s="317"/>
    </row>
    <row r="15" spans="1:11" x14ac:dyDescent="0.2">
      <c r="A15" s="317">
        <v>12</v>
      </c>
      <c r="B15" s="317">
        <f t="shared" si="0"/>
        <v>0</v>
      </c>
      <c r="C15" s="317" t="s">
        <v>88</v>
      </c>
      <c r="D15" s="317" t="s">
        <v>301</v>
      </c>
      <c r="E15" s="379">
        <v>110.81215200000001</v>
      </c>
      <c r="F15" s="380">
        <v>146.2098</v>
      </c>
      <c r="G15" s="380">
        <v>178.37767199999996</v>
      </c>
      <c r="H15" s="317"/>
      <c r="I15" s="317"/>
      <c r="J15" s="317"/>
      <c r="K15" s="317"/>
    </row>
    <row r="16" spans="1:11" x14ac:dyDescent="0.2">
      <c r="A16" s="317">
        <v>13</v>
      </c>
      <c r="B16" s="317">
        <f t="shared" si="0"/>
        <v>0</v>
      </c>
      <c r="C16" s="317" t="s">
        <v>88</v>
      </c>
      <c r="D16" s="317" t="s">
        <v>302</v>
      </c>
      <c r="E16" s="379">
        <v>99.339048000000005</v>
      </c>
      <c r="F16" s="380">
        <v>130.98854399999999</v>
      </c>
      <c r="G16" s="380">
        <v>159.90475200000003</v>
      </c>
      <c r="H16" s="317"/>
      <c r="I16" s="317"/>
      <c r="J16" s="317"/>
      <c r="K16" s="317"/>
    </row>
    <row r="17" spans="1:7" x14ac:dyDescent="0.2">
      <c r="A17" s="317">
        <v>14</v>
      </c>
      <c r="B17" s="317">
        <f t="shared" si="0"/>
        <v>0</v>
      </c>
      <c r="C17" s="317" t="s">
        <v>88</v>
      </c>
      <c r="D17" s="317" t="s">
        <v>303</v>
      </c>
      <c r="E17" s="379">
        <v>76.199879999999993</v>
      </c>
      <c r="F17" s="380">
        <v>99.960335999999998</v>
      </c>
      <c r="G17" s="380">
        <v>121.440912</v>
      </c>
    </row>
    <row r="18" spans="1:7" x14ac:dyDescent="0.2">
      <c r="A18" s="317">
        <v>15</v>
      </c>
      <c r="B18" s="317">
        <f t="shared" si="0"/>
        <v>0</v>
      </c>
      <c r="C18" s="317" t="s">
        <v>91</v>
      </c>
      <c r="D18" s="317" t="s">
        <v>304</v>
      </c>
      <c r="E18" s="379">
        <v>30.851112000000001</v>
      </c>
      <c r="F18" s="380">
        <v>41.528184000000003</v>
      </c>
      <c r="G18" s="380">
        <v>51.583368</v>
      </c>
    </row>
    <row r="19" spans="1:7" x14ac:dyDescent="0.2">
      <c r="A19" s="317">
        <v>16</v>
      </c>
      <c r="B19" s="317">
        <f t="shared" si="0"/>
        <v>0</v>
      </c>
      <c r="C19" s="317" t="s">
        <v>91</v>
      </c>
      <c r="D19" s="317" t="s">
        <v>307</v>
      </c>
      <c r="E19" s="379">
        <v>38.930304</v>
      </c>
      <c r="F19" s="380">
        <v>52.201823999999995</v>
      </c>
      <c r="G19" s="380">
        <v>64.708247999999998</v>
      </c>
    </row>
    <row r="20" spans="1:7" x14ac:dyDescent="0.2">
      <c r="A20" s="317">
        <v>17</v>
      </c>
      <c r="B20" s="317">
        <f t="shared" si="0"/>
        <v>0</v>
      </c>
      <c r="C20" s="317" t="s">
        <v>91</v>
      </c>
      <c r="D20" s="317" t="s">
        <v>310</v>
      </c>
      <c r="E20" s="379">
        <v>23.041128</v>
      </c>
      <c r="F20" s="380">
        <v>31.659312000000003</v>
      </c>
      <c r="G20" s="380">
        <v>39.652391999999999</v>
      </c>
    </row>
    <row r="21" spans="1:7" x14ac:dyDescent="0.2">
      <c r="A21" s="317">
        <v>18</v>
      </c>
      <c r="B21" s="317">
        <f t="shared" si="0"/>
        <v>0</v>
      </c>
      <c r="C21" s="317" t="s">
        <v>91</v>
      </c>
      <c r="D21" s="317" t="s">
        <v>311</v>
      </c>
      <c r="E21" s="379">
        <v>24.812711999999998</v>
      </c>
      <c r="F21" s="380">
        <v>33.599903999999995</v>
      </c>
      <c r="G21" s="380">
        <v>41.900832000000001</v>
      </c>
    </row>
    <row r="22" spans="1:7" x14ac:dyDescent="0.2">
      <c r="A22" s="317">
        <v>19</v>
      </c>
      <c r="B22" s="317">
        <f t="shared" si="0"/>
        <v>0</v>
      </c>
      <c r="C22" s="317" t="s">
        <v>94</v>
      </c>
      <c r="D22" s="317" t="s">
        <v>312</v>
      </c>
      <c r="E22" s="379">
        <v>35.974752000000002</v>
      </c>
      <c r="F22" s="380">
        <v>48.692256</v>
      </c>
      <c r="G22" s="380">
        <v>60.457967999999994</v>
      </c>
    </row>
    <row r="23" spans="1:7" x14ac:dyDescent="0.2">
      <c r="A23" s="317">
        <v>20</v>
      </c>
      <c r="B23" s="317">
        <f t="shared" si="0"/>
        <v>0</v>
      </c>
      <c r="C23" s="317" t="s">
        <v>94</v>
      </c>
      <c r="D23" s="317" t="s">
        <v>315</v>
      </c>
      <c r="E23" s="379">
        <v>34.761552000000002</v>
      </c>
      <c r="F23" s="380">
        <v>47.041223999999993</v>
      </c>
      <c r="G23" s="380">
        <v>58.397016000000001</v>
      </c>
    </row>
    <row r="24" spans="1:7" x14ac:dyDescent="0.2">
      <c r="A24" s="317">
        <v>21</v>
      </c>
      <c r="B24" s="317">
        <f t="shared" si="0"/>
        <v>0</v>
      </c>
      <c r="C24" s="317" t="s">
        <v>97</v>
      </c>
      <c r="D24" s="317" t="s">
        <v>316</v>
      </c>
      <c r="E24" s="379">
        <v>45.181752000000003</v>
      </c>
      <c r="F24" s="380">
        <v>58.582416000000002</v>
      </c>
      <c r="G24" s="380">
        <v>71.048328000000012</v>
      </c>
    </row>
    <row r="25" spans="1:7" x14ac:dyDescent="0.2">
      <c r="A25" s="317">
        <v>22</v>
      </c>
      <c r="B25" s="317">
        <f t="shared" si="0"/>
        <v>0</v>
      </c>
      <c r="C25" s="317" t="s">
        <v>97</v>
      </c>
      <c r="D25" s="317" t="s">
        <v>319</v>
      </c>
      <c r="E25" s="379">
        <v>16.992671999999999</v>
      </c>
      <c r="F25" s="380">
        <v>23.402880000000003</v>
      </c>
      <c r="G25" s="380">
        <v>29.626271999999993</v>
      </c>
    </row>
    <row r="26" spans="1:7" x14ac:dyDescent="0.2">
      <c r="A26" s="317">
        <v>23</v>
      </c>
      <c r="B26" s="317">
        <f t="shared" si="0"/>
        <v>0</v>
      </c>
      <c r="C26" s="317" t="s">
        <v>97</v>
      </c>
      <c r="D26" s="317" t="s">
        <v>320</v>
      </c>
      <c r="E26" s="379">
        <v>34.038288000000009</v>
      </c>
      <c r="F26" s="380">
        <v>44.472575999999997</v>
      </c>
      <c r="G26" s="380">
        <v>54.183480000000003</v>
      </c>
    </row>
    <row r="27" spans="1:7" x14ac:dyDescent="0.2">
      <c r="A27" s="317">
        <v>24</v>
      </c>
      <c r="B27" s="317">
        <f t="shared" si="0"/>
        <v>0</v>
      </c>
      <c r="C27" s="317" t="s">
        <v>97</v>
      </c>
      <c r="D27" s="317" t="s">
        <v>321</v>
      </c>
      <c r="E27" s="379">
        <v>19.630752000000001</v>
      </c>
      <c r="F27" s="380">
        <v>27.052224000000002</v>
      </c>
      <c r="G27" s="380">
        <v>34.11636</v>
      </c>
    </row>
    <row r="28" spans="1:7" x14ac:dyDescent="0.2">
      <c r="A28" s="317">
        <v>25</v>
      </c>
      <c r="B28" s="317">
        <f t="shared" si="0"/>
        <v>0</v>
      </c>
      <c r="C28" s="317" t="s">
        <v>100</v>
      </c>
      <c r="D28" s="317" t="s">
        <v>322</v>
      </c>
      <c r="E28" s="379">
        <v>23.696064</v>
      </c>
      <c r="F28" s="380">
        <v>30.755231999999999</v>
      </c>
      <c r="G28" s="380">
        <v>37.187472000000007</v>
      </c>
    </row>
    <row r="29" spans="1:7" x14ac:dyDescent="0.2">
      <c r="A29" s="317">
        <v>26</v>
      </c>
      <c r="B29" s="317">
        <f t="shared" si="0"/>
        <v>0</v>
      </c>
      <c r="C29" s="317" t="s">
        <v>100</v>
      </c>
      <c r="D29" s="317" t="s">
        <v>325</v>
      </c>
      <c r="E29" s="379">
        <v>22.651848000000001</v>
      </c>
      <c r="F29" s="380">
        <v>30.477024</v>
      </c>
      <c r="G29" s="380">
        <v>37.990704000000001</v>
      </c>
    </row>
    <row r="30" spans="1:7" x14ac:dyDescent="0.2">
      <c r="A30" s="317">
        <v>27</v>
      </c>
      <c r="B30" s="317">
        <f t="shared" si="0"/>
        <v>0</v>
      </c>
      <c r="C30" s="317" t="s">
        <v>100</v>
      </c>
      <c r="D30" s="317" t="s">
        <v>326</v>
      </c>
      <c r="E30" s="379">
        <v>20.389320000000001</v>
      </c>
      <c r="F30" s="380">
        <v>27.812975999999999</v>
      </c>
      <c r="G30" s="380">
        <v>35.171880000000002</v>
      </c>
    </row>
    <row r="31" spans="1:7" x14ac:dyDescent="0.2">
      <c r="A31" s="317">
        <v>28</v>
      </c>
      <c r="B31" s="317">
        <f t="shared" si="0"/>
        <v>0</v>
      </c>
      <c r="C31" s="317" t="s">
        <v>100</v>
      </c>
      <c r="D31" s="317" t="s">
        <v>327</v>
      </c>
      <c r="E31" s="379">
        <v>29.731992000000005</v>
      </c>
      <c r="F31" s="380">
        <v>40.181975999999992</v>
      </c>
      <c r="G31" s="380">
        <v>50.041176000000007</v>
      </c>
    </row>
    <row r="32" spans="1:7" x14ac:dyDescent="0.2">
      <c r="A32" s="317">
        <v>29</v>
      </c>
      <c r="B32" s="317">
        <f t="shared" si="0"/>
        <v>0</v>
      </c>
      <c r="C32" s="317" t="s">
        <v>100</v>
      </c>
      <c r="D32" s="317" t="s">
        <v>328</v>
      </c>
      <c r="E32" s="379">
        <v>15.272472000000002</v>
      </c>
      <c r="F32" s="380">
        <v>20.924280000000003</v>
      </c>
      <c r="G32" s="380">
        <v>26.200944000000007</v>
      </c>
    </row>
    <row r="33" spans="1:7" x14ac:dyDescent="0.2">
      <c r="A33" s="317">
        <v>30</v>
      </c>
      <c r="B33" s="317">
        <f t="shared" si="0"/>
        <v>0</v>
      </c>
      <c r="C33" s="317" t="s">
        <v>100</v>
      </c>
      <c r="D33" s="317" t="s">
        <v>329</v>
      </c>
      <c r="E33" s="379">
        <v>13.936680000000001</v>
      </c>
      <c r="F33" s="380">
        <v>19.008288</v>
      </c>
      <c r="G33" s="380">
        <v>23.703576000000002</v>
      </c>
    </row>
    <row r="34" spans="1:7" x14ac:dyDescent="0.2">
      <c r="A34" s="317">
        <v>31</v>
      </c>
      <c r="B34" s="317">
        <f t="shared" si="0"/>
        <v>0</v>
      </c>
      <c r="C34" s="317" t="s">
        <v>100</v>
      </c>
      <c r="D34" s="317" t="s">
        <v>330</v>
      </c>
      <c r="E34" s="379">
        <v>31.808664</v>
      </c>
      <c r="F34" s="380">
        <v>43.276032000000008</v>
      </c>
      <c r="G34" s="380">
        <v>53.853695999999999</v>
      </c>
    </row>
    <row r="35" spans="1:7" x14ac:dyDescent="0.2">
      <c r="A35" s="317">
        <v>32</v>
      </c>
      <c r="B35" s="317">
        <f t="shared" si="0"/>
        <v>0</v>
      </c>
      <c r="C35" s="317" t="s">
        <v>100</v>
      </c>
      <c r="D35" s="317" t="s">
        <v>331</v>
      </c>
      <c r="E35" s="379">
        <v>10.032456</v>
      </c>
      <c r="F35" s="380">
        <v>13.751519999999999</v>
      </c>
      <c r="G35" s="380">
        <v>17.041464000000001</v>
      </c>
    </row>
    <row r="36" spans="1:7" x14ac:dyDescent="0.2">
      <c r="A36" s="317">
        <v>33</v>
      </c>
      <c r="B36" s="317">
        <f t="shared" si="0"/>
        <v>0</v>
      </c>
      <c r="C36" s="317" t="s">
        <v>100</v>
      </c>
      <c r="D36" s="317" t="s">
        <v>332</v>
      </c>
      <c r="E36" s="379">
        <v>20.737296000000001</v>
      </c>
      <c r="F36" s="380">
        <v>28.070304</v>
      </c>
      <c r="G36" s="380">
        <v>35.009040000000006</v>
      </c>
    </row>
    <row r="37" spans="1:7" x14ac:dyDescent="0.2">
      <c r="A37" s="317">
        <v>34</v>
      </c>
      <c r="B37" s="317">
        <f t="shared" si="0"/>
        <v>0</v>
      </c>
      <c r="C37" s="317" t="s">
        <v>100</v>
      </c>
      <c r="D37" s="317" t="s">
        <v>333</v>
      </c>
      <c r="E37" s="379">
        <v>20.624375999999998</v>
      </c>
      <c r="F37" s="380">
        <v>28.069391999999997</v>
      </c>
      <c r="G37" s="380">
        <v>35.035295999999995</v>
      </c>
    </row>
    <row r="38" spans="1:7" x14ac:dyDescent="0.2">
      <c r="A38" s="317">
        <v>35</v>
      </c>
      <c r="B38" s="317">
        <f t="shared" si="0"/>
        <v>0</v>
      </c>
      <c r="C38" s="317" t="s">
        <v>102</v>
      </c>
      <c r="D38" s="317" t="s">
        <v>334</v>
      </c>
      <c r="E38" s="379">
        <v>57.752184</v>
      </c>
      <c r="F38" s="380">
        <v>75.125472000000002</v>
      </c>
      <c r="G38" s="380">
        <v>90.952008000000006</v>
      </c>
    </row>
    <row r="39" spans="1:7" x14ac:dyDescent="0.2">
      <c r="A39" s="317">
        <v>36</v>
      </c>
      <c r="B39" s="317">
        <f t="shared" si="0"/>
        <v>0</v>
      </c>
      <c r="C39" s="317" t="s">
        <v>102</v>
      </c>
      <c r="D39" s="317" t="s">
        <v>337</v>
      </c>
      <c r="E39" s="379">
        <v>46.840200000000003</v>
      </c>
      <c r="F39" s="380">
        <v>61.195848000000012</v>
      </c>
      <c r="G39" s="380">
        <v>74.212704000000002</v>
      </c>
    </row>
    <row r="40" spans="1:7" x14ac:dyDescent="0.2">
      <c r="A40" s="317">
        <v>37</v>
      </c>
      <c r="B40" s="317">
        <f t="shared" si="0"/>
        <v>0</v>
      </c>
      <c r="C40" s="317" t="s">
        <v>102</v>
      </c>
      <c r="D40" s="317" t="s">
        <v>338</v>
      </c>
      <c r="E40" s="379">
        <v>60.644495999999997</v>
      </c>
      <c r="F40" s="380">
        <v>78.518783999999997</v>
      </c>
      <c r="G40" s="380">
        <v>95.173823999999996</v>
      </c>
    </row>
    <row r="41" spans="1:7" x14ac:dyDescent="0.2">
      <c r="A41" s="317">
        <v>38</v>
      </c>
      <c r="B41" s="317">
        <f t="shared" si="0"/>
        <v>0</v>
      </c>
      <c r="C41" s="317" t="s">
        <v>102</v>
      </c>
      <c r="D41" s="317" t="s">
        <v>339</v>
      </c>
      <c r="E41" s="379">
        <v>40.669824000000006</v>
      </c>
      <c r="F41" s="380">
        <v>53.504400000000004</v>
      </c>
      <c r="G41" s="380">
        <v>65.200608000000003</v>
      </c>
    </row>
    <row r="42" spans="1:7" x14ac:dyDescent="0.2">
      <c r="A42" s="317">
        <v>39</v>
      </c>
      <c r="B42" s="317">
        <f t="shared" si="0"/>
        <v>0</v>
      </c>
      <c r="C42" s="317" t="s">
        <v>104</v>
      </c>
      <c r="D42" s="317" t="s">
        <v>340</v>
      </c>
      <c r="E42" s="379">
        <v>51.654816000000004</v>
      </c>
      <c r="F42" s="380">
        <v>67.910927999999998</v>
      </c>
      <c r="G42" s="380">
        <v>82.619351999999992</v>
      </c>
    </row>
    <row r="43" spans="1:7" x14ac:dyDescent="0.2">
      <c r="A43" s="317">
        <v>40</v>
      </c>
      <c r="B43" s="317">
        <f t="shared" si="0"/>
        <v>0</v>
      </c>
      <c r="C43" s="317" t="s">
        <v>104</v>
      </c>
      <c r="D43" s="317" t="s">
        <v>343</v>
      </c>
      <c r="E43" s="379">
        <v>53.078496000000001</v>
      </c>
      <c r="F43" s="380">
        <v>69.798552000000001</v>
      </c>
      <c r="G43" s="380">
        <v>84.937727999999993</v>
      </c>
    </row>
    <row r="44" spans="1:7" x14ac:dyDescent="0.2">
      <c r="A44" s="317">
        <v>41</v>
      </c>
      <c r="B44" s="317">
        <f t="shared" si="0"/>
        <v>0</v>
      </c>
      <c r="C44" s="317" t="s">
        <v>107</v>
      </c>
      <c r="D44" s="317" t="s">
        <v>190</v>
      </c>
      <c r="E44" s="379">
        <v>45.549647999999998</v>
      </c>
      <c r="F44" s="380">
        <v>59.905200000000001</v>
      </c>
      <c r="G44" s="380">
        <v>72.905063999999996</v>
      </c>
    </row>
    <row r="45" spans="1:7" x14ac:dyDescent="0.2">
      <c r="A45" s="317">
        <v>42</v>
      </c>
      <c r="B45" s="317">
        <f t="shared" si="0"/>
        <v>0</v>
      </c>
      <c r="C45" s="317" t="s">
        <v>110</v>
      </c>
      <c r="D45" s="317" t="s">
        <v>346</v>
      </c>
      <c r="E45" s="379">
        <v>49.679831999999998</v>
      </c>
      <c r="F45" s="380">
        <v>65.261207999999996</v>
      </c>
      <c r="G45" s="380">
        <v>79.368335999999999</v>
      </c>
    </row>
    <row r="46" spans="1:7" x14ac:dyDescent="0.2">
      <c r="A46" s="317">
        <v>43</v>
      </c>
      <c r="B46" s="317">
        <f t="shared" si="0"/>
        <v>0</v>
      </c>
      <c r="C46" s="317" t="s">
        <v>112</v>
      </c>
      <c r="D46" s="317" t="s">
        <v>347</v>
      </c>
      <c r="E46" s="379">
        <v>13.380072000000002</v>
      </c>
      <c r="F46" s="380">
        <v>18.462335999999997</v>
      </c>
      <c r="G46" s="380">
        <v>23.266512000000002</v>
      </c>
    </row>
    <row r="47" spans="1:7" x14ac:dyDescent="0.2">
      <c r="A47" s="317">
        <v>44</v>
      </c>
      <c r="B47" s="317">
        <f t="shared" si="0"/>
        <v>0</v>
      </c>
      <c r="C47" s="317" t="s">
        <v>112</v>
      </c>
      <c r="D47" s="317" t="s">
        <v>350</v>
      </c>
      <c r="E47" s="379">
        <v>17.972663999999998</v>
      </c>
      <c r="F47" s="380">
        <v>24.586296000000001</v>
      </c>
      <c r="G47" s="380">
        <v>31.098984000000002</v>
      </c>
    </row>
    <row r="48" spans="1:7" x14ac:dyDescent="0.2">
      <c r="A48" s="317">
        <v>45</v>
      </c>
      <c r="B48" s="317">
        <f t="shared" si="0"/>
        <v>0</v>
      </c>
      <c r="C48" s="317" t="s">
        <v>112</v>
      </c>
      <c r="D48" s="317" t="s">
        <v>351</v>
      </c>
      <c r="E48" s="379">
        <v>0.26263199999999998</v>
      </c>
      <c r="F48" s="380">
        <v>0.41445599999999994</v>
      </c>
      <c r="G48" s="380">
        <v>0.56344800000000006</v>
      </c>
    </row>
    <row r="49" spans="1:7" x14ac:dyDescent="0.2">
      <c r="A49" s="317">
        <v>46</v>
      </c>
      <c r="B49" s="317">
        <f t="shared" si="0"/>
        <v>0</v>
      </c>
      <c r="C49" s="317" t="s">
        <v>112</v>
      </c>
      <c r="D49" s="317" t="s">
        <v>352</v>
      </c>
      <c r="E49" s="379">
        <v>0.93772800000000012</v>
      </c>
      <c r="F49" s="380">
        <v>1.4244240000000001</v>
      </c>
      <c r="G49" s="380">
        <v>1.9024799999999999</v>
      </c>
    </row>
    <row r="50" spans="1:7" x14ac:dyDescent="0.2">
      <c r="A50" s="317">
        <v>47</v>
      </c>
      <c r="B50" s="317">
        <f t="shared" si="0"/>
        <v>0</v>
      </c>
      <c r="C50" s="317" t="s">
        <v>112</v>
      </c>
      <c r="D50" s="317" t="s">
        <v>353</v>
      </c>
      <c r="E50" s="379">
        <v>21.522959999999998</v>
      </c>
      <c r="F50" s="380">
        <v>29.286888000000005</v>
      </c>
      <c r="G50" s="380">
        <v>36.802056</v>
      </c>
    </row>
    <row r="51" spans="1:7" x14ac:dyDescent="0.2">
      <c r="A51" s="317">
        <v>48</v>
      </c>
      <c r="B51" s="317">
        <f t="shared" si="0"/>
        <v>0</v>
      </c>
      <c r="C51" s="317" t="s">
        <v>112</v>
      </c>
      <c r="D51" s="317" t="s">
        <v>354</v>
      </c>
      <c r="E51" s="379">
        <v>11.346575999999999</v>
      </c>
      <c r="F51" s="380">
        <v>15.858096</v>
      </c>
      <c r="G51" s="380">
        <v>20.054712000000002</v>
      </c>
    </row>
    <row r="52" spans="1:7" x14ac:dyDescent="0.2">
      <c r="A52" s="317">
        <v>49</v>
      </c>
      <c r="B52" s="317">
        <f t="shared" si="0"/>
        <v>0</v>
      </c>
      <c r="C52" s="317" t="s">
        <v>112</v>
      </c>
      <c r="D52" s="317" t="s">
        <v>355</v>
      </c>
      <c r="E52" s="379">
        <v>1.1881439999999999</v>
      </c>
      <c r="F52" s="380">
        <v>1.7241360000000003</v>
      </c>
      <c r="G52" s="380">
        <v>2.242896</v>
      </c>
    </row>
    <row r="53" spans="1:7" x14ac:dyDescent="0.2">
      <c r="A53" s="317">
        <v>50</v>
      </c>
      <c r="B53" s="317">
        <f t="shared" si="0"/>
        <v>0</v>
      </c>
      <c r="C53" s="317" t="s">
        <v>114</v>
      </c>
      <c r="D53" s="317" t="s">
        <v>356</v>
      </c>
      <c r="E53" s="379">
        <v>29.374319999999997</v>
      </c>
      <c r="F53" s="380">
        <v>39.497399999999999</v>
      </c>
      <c r="G53" s="380">
        <v>49.029647999999995</v>
      </c>
    </row>
    <row r="54" spans="1:7" x14ac:dyDescent="0.2">
      <c r="A54" s="317">
        <v>51</v>
      </c>
      <c r="B54" s="317">
        <f t="shared" si="0"/>
        <v>0</v>
      </c>
      <c r="C54" s="317" t="s">
        <v>114</v>
      </c>
      <c r="D54" s="317" t="s">
        <v>357</v>
      </c>
      <c r="E54" s="379">
        <v>33.156744000000003</v>
      </c>
      <c r="F54" s="380">
        <v>44.839031999999989</v>
      </c>
      <c r="G54" s="380">
        <v>55.615415999999996</v>
      </c>
    </row>
    <row r="55" spans="1:7" x14ac:dyDescent="0.2">
      <c r="A55" s="317">
        <v>52</v>
      </c>
      <c r="B55" s="317">
        <f t="shared" si="0"/>
        <v>0</v>
      </c>
      <c r="C55" s="317" t="s">
        <v>114</v>
      </c>
      <c r="D55" s="317" t="s">
        <v>358</v>
      </c>
      <c r="E55" s="379">
        <v>30.426432000000005</v>
      </c>
      <c r="F55" s="380">
        <v>41.028599999999997</v>
      </c>
      <c r="G55" s="380">
        <v>51.048264000000003</v>
      </c>
    </row>
    <row r="56" spans="1:7" x14ac:dyDescent="0.2">
      <c r="A56" s="317">
        <v>53</v>
      </c>
      <c r="B56" s="317">
        <f t="shared" si="0"/>
        <v>0</v>
      </c>
      <c r="C56" s="317" t="s">
        <v>114</v>
      </c>
      <c r="D56" s="317" t="s">
        <v>359</v>
      </c>
      <c r="E56" s="379">
        <v>27.519264</v>
      </c>
      <c r="F56" s="380">
        <v>37.378728000000002</v>
      </c>
      <c r="G56" s="380">
        <v>46.495320000000007</v>
      </c>
    </row>
    <row r="57" spans="1:7" x14ac:dyDescent="0.2">
      <c r="A57" s="317">
        <v>54</v>
      </c>
      <c r="B57" s="317">
        <f t="shared" si="0"/>
        <v>0</v>
      </c>
      <c r="C57" s="317" t="s">
        <v>114</v>
      </c>
      <c r="D57" s="317" t="s">
        <v>360</v>
      </c>
      <c r="E57" s="379">
        <v>28.642199999999995</v>
      </c>
      <c r="F57" s="380">
        <v>38.698728000000003</v>
      </c>
      <c r="G57" s="380">
        <v>48.193463999999992</v>
      </c>
    </row>
    <row r="58" spans="1:7" x14ac:dyDescent="0.2">
      <c r="A58" s="317">
        <v>55</v>
      </c>
      <c r="B58" s="317">
        <f t="shared" si="0"/>
        <v>0</v>
      </c>
      <c r="C58" s="317" t="s">
        <v>114</v>
      </c>
      <c r="D58" s="317" t="s">
        <v>361</v>
      </c>
      <c r="E58" s="379">
        <v>24.540600000000001</v>
      </c>
      <c r="F58" s="380">
        <v>33.677928000000001</v>
      </c>
      <c r="G58" s="380">
        <v>42.162959999999998</v>
      </c>
    </row>
    <row r="59" spans="1:7" x14ac:dyDescent="0.2">
      <c r="A59" s="317">
        <v>56</v>
      </c>
      <c r="B59" s="317">
        <f t="shared" si="0"/>
        <v>0</v>
      </c>
      <c r="C59" s="317" t="s">
        <v>116</v>
      </c>
      <c r="D59" s="317" t="s">
        <v>362</v>
      </c>
      <c r="E59" s="379">
        <v>8.2319999999999997E-3</v>
      </c>
      <c r="F59" s="380">
        <v>2.2055999999999999E-2</v>
      </c>
      <c r="G59" s="380">
        <v>3.8039999999999997E-2</v>
      </c>
    </row>
    <row r="60" spans="1:7" x14ac:dyDescent="0.2">
      <c r="A60" s="317">
        <v>57</v>
      </c>
      <c r="B60" s="317">
        <f t="shared" si="0"/>
        <v>0</v>
      </c>
      <c r="C60" s="317" t="s">
        <v>116</v>
      </c>
      <c r="D60" s="317" t="s">
        <v>365</v>
      </c>
      <c r="E60" s="379">
        <v>1.5072E-2</v>
      </c>
      <c r="F60" s="380">
        <v>2.6687999999999996E-2</v>
      </c>
      <c r="G60" s="380">
        <v>3.9455999999999998E-2</v>
      </c>
    </row>
    <row r="61" spans="1:7" x14ac:dyDescent="0.2">
      <c r="A61" s="317">
        <v>58</v>
      </c>
      <c r="B61" s="317">
        <f t="shared" si="0"/>
        <v>0</v>
      </c>
      <c r="C61" s="317" t="s">
        <v>116</v>
      </c>
      <c r="D61" s="317" t="s">
        <v>368</v>
      </c>
      <c r="E61" s="379">
        <v>5.8512000000000002E-2</v>
      </c>
      <c r="F61" s="380">
        <v>0.103104</v>
      </c>
      <c r="G61" s="380">
        <v>0.15069600000000002</v>
      </c>
    </row>
    <row r="62" spans="1:7" x14ac:dyDescent="0.2">
      <c r="A62" s="317">
        <v>59</v>
      </c>
      <c r="B62" s="317">
        <f t="shared" si="0"/>
        <v>0</v>
      </c>
      <c r="C62" s="317" t="s">
        <v>116</v>
      </c>
      <c r="D62" s="317" t="s">
        <v>369</v>
      </c>
      <c r="E62" s="379">
        <v>2.3400000000000004E-2</v>
      </c>
      <c r="F62" s="380">
        <v>4.8071999999999997E-2</v>
      </c>
      <c r="G62" s="380">
        <v>7.5791999999999998E-2</v>
      </c>
    </row>
    <row r="63" spans="1:7" x14ac:dyDescent="0.2">
      <c r="A63" s="317">
        <v>60</v>
      </c>
      <c r="B63" s="317">
        <f t="shared" si="0"/>
        <v>0</v>
      </c>
      <c r="C63" s="317" t="s">
        <v>118</v>
      </c>
      <c r="D63" s="317" t="s">
        <v>370</v>
      </c>
      <c r="E63" s="379">
        <v>59.738063999999994</v>
      </c>
      <c r="F63" s="380">
        <v>78.667511999999988</v>
      </c>
      <c r="G63" s="380">
        <v>96.881544000000005</v>
      </c>
    </row>
    <row r="64" spans="1:7" x14ac:dyDescent="0.2">
      <c r="A64" s="317">
        <v>61</v>
      </c>
      <c r="B64" s="317">
        <f t="shared" si="0"/>
        <v>0</v>
      </c>
      <c r="C64" s="317" t="s">
        <v>118</v>
      </c>
      <c r="D64" s="317" t="s">
        <v>373</v>
      </c>
      <c r="E64" s="379">
        <v>77.026559999999989</v>
      </c>
      <c r="F64" s="380">
        <v>101.54599200000001</v>
      </c>
      <c r="G64" s="380">
        <v>123.88533600000001</v>
      </c>
    </row>
    <row r="65" spans="1:7" x14ac:dyDescent="0.2">
      <c r="A65" s="317">
        <v>62</v>
      </c>
      <c r="B65" s="317">
        <f t="shared" si="0"/>
        <v>0</v>
      </c>
      <c r="C65" s="317" t="s">
        <v>118</v>
      </c>
      <c r="D65" s="317" t="s">
        <v>374</v>
      </c>
      <c r="E65" s="379">
        <v>62.784408000000013</v>
      </c>
      <c r="F65" s="380">
        <v>82.765703999999999</v>
      </c>
      <c r="G65" s="380">
        <v>100.96120800000001</v>
      </c>
    </row>
    <row r="66" spans="1:7" x14ac:dyDescent="0.2">
      <c r="A66" s="317">
        <v>63</v>
      </c>
      <c r="B66" s="317">
        <f t="shared" si="0"/>
        <v>0</v>
      </c>
      <c r="C66" s="317" t="s">
        <v>118</v>
      </c>
      <c r="D66" s="317" t="s">
        <v>375</v>
      </c>
      <c r="E66" s="379">
        <v>66.531672000000015</v>
      </c>
      <c r="F66" s="380">
        <v>87.806184000000002</v>
      </c>
      <c r="G66" s="380">
        <v>107.20320000000001</v>
      </c>
    </row>
    <row r="67" spans="1:7" x14ac:dyDescent="0.2">
      <c r="A67" s="317">
        <v>64</v>
      </c>
      <c r="B67" s="317">
        <f t="shared" si="0"/>
        <v>0</v>
      </c>
      <c r="C67" s="317" t="s">
        <v>121</v>
      </c>
      <c r="D67" s="317" t="s">
        <v>376</v>
      </c>
      <c r="E67" s="379">
        <v>46.086191999999997</v>
      </c>
      <c r="F67" s="380">
        <v>60.494711999999993</v>
      </c>
      <c r="G67" s="380">
        <v>73.516631999999987</v>
      </c>
    </row>
    <row r="68" spans="1:7" x14ac:dyDescent="0.2">
      <c r="A68" s="317">
        <v>65</v>
      </c>
      <c r="B68" s="317">
        <f t="shared" ref="B68:B131" si="1">IF(C68=activestate,IF(D68=C$2,1,0),0)</f>
        <v>0</v>
      </c>
      <c r="C68" s="317" t="s">
        <v>121</v>
      </c>
      <c r="D68" s="317" t="s">
        <v>379</v>
      </c>
      <c r="E68" s="379">
        <v>57.145296000000002</v>
      </c>
      <c r="F68" s="380">
        <v>74.90272800000001</v>
      </c>
      <c r="G68" s="380">
        <v>91.85469599999999</v>
      </c>
    </row>
    <row r="69" spans="1:7" x14ac:dyDescent="0.2">
      <c r="A69" s="317">
        <v>66</v>
      </c>
      <c r="B69" s="317">
        <f t="shared" si="1"/>
        <v>0</v>
      </c>
      <c r="C69" s="317" t="s">
        <v>123</v>
      </c>
      <c r="D69" s="317" t="s">
        <v>380</v>
      </c>
      <c r="E69" s="379">
        <v>59.997504000000006</v>
      </c>
      <c r="F69" s="380">
        <v>79.013615999999999</v>
      </c>
      <c r="G69" s="380">
        <v>97.280688000000012</v>
      </c>
    </row>
    <row r="70" spans="1:7" x14ac:dyDescent="0.2">
      <c r="A70" s="317">
        <v>67</v>
      </c>
      <c r="B70" s="317">
        <f t="shared" si="1"/>
        <v>0</v>
      </c>
      <c r="C70" s="317" t="s">
        <v>123</v>
      </c>
      <c r="D70" s="317" t="s">
        <v>383</v>
      </c>
      <c r="E70" s="379">
        <v>58.896287999999998</v>
      </c>
      <c r="F70" s="380">
        <v>77.77727999999999</v>
      </c>
      <c r="G70" s="380">
        <v>94.974192000000002</v>
      </c>
    </row>
    <row r="71" spans="1:7" x14ac:dyDescent="0.2">
      <c r="A71" s="317">
        <v>68</v>
      </c>
      <c r="B71" s="317">
        <f t="shared" si="1"/>
        <v>0</v>
      </c>
      <c r="C71" s="317" t="s">
        <v>123</v>
      </c>
      <c r="D71" s="317" t="s">
        <v>384</v>
      </c>
      <c r="E71" s="379">
        <v>57.961920000000006</v>
      </c>
      <c r="F71" s="380">
        <v>76.445279999999997</v>
      </c>
      <c r="G71" s="380">
        <v>93.273239999999987</v>
      </c>
    </row>
    <row r="72" spans="1:7" x14ac:dyDescent="0.2">
      <c r="A72" s="317">
        <v>69</v>
      </c>
      <c r="B72" s="317">
        <f t="shared" si="1"/>
        <v>0</v>
      </c>
      <c r="C72" s="317" t="s">
        <v>123</v>
      </c>
      <c r="D72" s="317" t="s">
        <v>387</v>
      </c>
      <c r="E72" s="379">
        <v>62.672903999999996</v>
      </c>
      <c r="F72" s="380">
        <v>81.792264000000003</v>
      </c>
      <c r="G72" s="380">
        <v>100.65727199999999</v>
      </c>
    </row>
    <row r="73" spans="1:7" x14ac:dyDescent="0.2">
      <c r="A73" s="317">
        <v>70</v>
      </c>
      <c r="B73" s="317">
        <f t="shared" si="1"/>
        <v>0</v>
      </c>
      <c r="C73" s="317" t="s">
        <v>123</v>
      </c>
      <c r="D73" s="317" t="s">
        <v>388</v>
      </c>
      <c r="E73" s="379">
        <v>55.854239999999997</v>
      </c>
      <c r="F73" s="380">
        <v>73.706760000000003</v>
      </c>
      <c r="G73" s="380">
        <v>90.908616000000009</v>
      </c>
    </row>
    <row r="74" spans="1:7" x14ac:dyDescent="0.2">
      <c r="A74" s="317">
        <v>71</v>
      </c>
      <c r="B74" s="317">
        <f t="shared" si="1"/>
        <v>0</v>
      </c>
      <c r="C74" s="317" t="s">
        <v>126</v>
      </c>
      <c r="D74" s="317" t="s">
        <v>389</v>
      </c>
      <c r="E74" s="379">
        <v>46.528464</v>
      </c>
      <c r="F74" s="380">
        <v>61.507799999999996</v>
      </c>
      <c r="G74" s="380">
        <v>75.110472000000001</v>
      </c>
    </row>
    <row r="75" spans="1:7" x14ac:dyDescent="0.2">
      <c r="A75" s="317">
        <v>72</v>
      </c>
      <c r="B75" s="317">
        <f t="shared" si="1"/>
        <v>0</v>
      </c>
      <c r="C75" s="317" t="s">
        <v>126</v>
      </c>
      <c r="D75" s="317" t="s">
        <v>390</v>
      </c>
      <c r="E75" s="379">
        <v>57.395927999999998</v>
      </c>
      <c r="F75" s="380">
        <v>75.658224000000004</v>
      </c>
      <c r="G75" s="380">
        <v>93.191231999999999</v>
      </c>
    </row>
    <row r="76" spans="1:7" x14ac:dyDescent="0.2">
      <c r="A76" s="317">
        <v>73</v>
      </c>
      <c r="B76" s="317">
        <f t="shared" si="1"/>
        <v>0</v>
      </c>
      <c r="C76" s="317" t="s">
        <v>126</v>
      </c>
      <c r="D76" s="317" t="s">
        <v>391</v>
      </c>
      <c r="E76" s="379">
        <v>50.910743999999994</v>
      </c>
      <c r="F76" s="380">
        <v>67.164959999999994</v>
      </c>
      <c r="G76" s="380">
        <v>81.916128</v>
      </c>
    </row>
    <row r="77" spans="1:7" x14ac:dyDescent="0.2">
      <c r="A77" s="317">
        <v>74</v>
      </c>
      <c r="B77" s="317">
        <f t="shared" si="1"/>
        <v>0</v>
      </c>
      <c r="C77" s="317" t="s">
        <v>128</v>
      </c>
      <c r="D77" s="317" t="s">
        <v>392</v>
      </c>
      <c r="E77" s="379">
        <v>50.542872000000003</v>
      </c>
      <c r="F77" s="380">
        <v>66.469632000000004</v>
      </c>
      <c r="G77" s="380">
        <v>81.782111999999998</v>
      </c>
    </row>
    <row r="78" spans="1:7" x14ac:dyDescent="0.2">
      <c r="A78" s="317">
        <v>75</v>
      </c>
      <c r="B78" s="317">
        <f t="shared" si="1"/>
        <v>0</v>
      </c>
      <c r="C78" s="317" t="s">
        <v>128</v>
      </c>
      <c r="D78" s="317" t="s">
        <v>395</v>
      </c>
      <c r="E78" s="379">
        <v>55.819535999999999</v>
      </c>
      <c r="F78" s="380">
        <v>73.282104000000004</v>
      </c>
      <c r="G78" s="380">
        <v>90.103464000000002</v>
      </c>
    </row>
    <row r="79" spans="1:7" x14ac:dyDescent="0.2">
      <c r="A79" s="317">
        <v>76</v>
      </c>
      <c r="B79" s="317">
        <f t="shared" si="1"/>
        <v>0</v>
      </c>
      <c r="C79" s="317" t="s">
        <v>128</v>
      </c>
      <c r="D79" s="317" t="s">
        <v>396</v>
      </c>
      <c r="E79" s="379">
        <v>52.701768000000001</v>
      </c>
      <c r="F79" s="380">
        <v>69.551568000000003</v>
      </c>
      <c r="G79" s="380">
        <v>84.901752000000016</v>
      </c>
    </row>
    <row r="80" spans="1:7" x14ac:dyDescent="0.2">
      <c r="A80" s="317">
        <v>77</v>
      </c>
      <c r="B80" s="317">
        <f t="shared" si="1"/>
        <v>0</v>
      </c>
      <c r="C80" s="317" t="s">
        <v>128</v>
      </c>
      <c r="D80" s="317" t="s">
        <v>397</v>
      </c>
      <c r="E80" s="379">
        <v>48.720312000000007</v>
      </c>
      <c r="F80" s="380">
        <v>64.212167999999991</v>
      </c>
      <c r="G80" s="380">
        <v>79.095960000000005</v>
      </c>
    </row>
    <row r="81" spans="1:7" x14ac:dyDescent="0.2">
      <c r="A81" s="317">
        <v>78</v>
      </c>
      <c r="B81" s="317">
        <f t="shared" si="1"/>
        <v>0</v>
      </c>
      <c r="C81" s="317" t="s">
        <v>130</v>
      </c>
      <c r="D81" s="317" t="s">
        <v>398</v>
      </c>
      <c r="E81" s="379">
        <v>53.051639999999999</v>
      </c>
      <c r="F81" s="380">
        <v>69.967607999999984</v>
      </c>
      <c r="G81" s="380">
        <v>85.322447999999994</v>
      </c>
    </row>
    <row r="82" spans="1:7" x14ac:dyDescent="0.2">
      <c r="A82" s="317">
        <v>79</v>
      </c>
      <c r="B82" s="317">
        <f t="shared" si="1"/>
        <v>0</v>
      </c>
      <c r="C82" s="317" t="s">
        <v>130</v>
      </c>
      <c r="D82" s="317" t="s">
        <v>399</v>
      </c>
      <c r="E82" s="379">
        <v>49.946567999999999</v>
      </c>
      <c r="F82" s="380">
        <v>65.290487999999982</v>
      </c>
      <c r="G82" s="380">
        <v>79.544424000000006</v>
      </c>
    </row>
    <row r="83" spans="1:7" x14ac:dyDescent="0.2">
      <c r="A83" s="317">
        <v>80</v>
      </c>
      <c r="B83" s="317">
        <f t="shared" si="1"/>
        <v>0</v>
      </c>
      <c r="C83" s="317" t="s">
        <v>130</v>
      </c>
      <c r="D83" s="317" t="s">
        <v>400</v>
      </c>
      <c r="E83" s="379">
        <v>43.182935999999998</v>
      </c>
      <c r="F83" s="380">
        <v>56.519063999999993</v>
      </c>
      <c r="G83" s="380">
        <v>68.923199999999994</v>
      </c>
    </row>
    <row r="84" spans="1:7" x14ac:dyDescent="0.2">
      <c r="A84" s="317">
        <v>81</v>
      </c>
      <c r="B84" s="317">
        <f t="shared" si="1"/>
        <v>0</v>
      </c>
      <c r="C84" s="317" t="s">
        <v>132</v>
      </c>
      <c r="D84" s="317" t="s">
        <v>401</v>
      </c>
      <c r="E84" s="379">
        <v>20.404727999999999</v>
      </c>
      <c r="F84" s="380">
        <v>27.875736000000003</v>
      </c>
      <c r="G84" s="380">
        <v>34.936968000000007</v>
      </c>
    </row>
    <row r="85" spans="1:7" x14ac:dyDescent="0.2">
      <c r="A85" s="317">
        <v>82</v>
      </c>
      <c r="B85" s="317">
        <f t="shared" si="1"/>
        <v>0</v>
      </c>
      <c r="C85" s="317" t="s">
        <v>132</v>
      </c>
      <c r="D85" s="317" t="s">
        <v>402</v>
      </c>
      <c r="E85" s="379">
        <v>22.615511999999995</v>
      </c>
      <c r="F85" s="380">
        <v>30.832799999999995</v>
      </c>
      <c r="G85" s="380">
        <v>38.603639999999992</v>
      </c>
    </row>
    <row r="86" spans="1:7" x14ac:dyDescent="0.2">
      <c r="A86" s="317">
        <v>83</v>
      </c>
      <c r="B86" s="317">
        <f t="shared" si="1"/>
        <v>0</v>
      </c>
      <c r="C86" s="317" t="s">
        <v>132</v>
      </c>
      <c r="D86" s="317" t="s">
        <v>403</v>
      </c>
      <c r="E86" s="379">
        <v>18.251856</v>
      </c>
      <c r="F86" s="380">
        <v>24.923904000000004</v>
      </c>
      <c r="G86" s="380">
        <v>31.219679999999997</v>
      </c>
    </row>
    <row r="87" spans="1:7" x14ac:dyDescent="0.2">
      <c r="A87" s="317">
        <v>84</v>
      </c>
      <c r="B87" s="317">
        <f t="shared" si="1"/>
        <v>0</v>
      </c>
      <c r="C87" s="317" t="s">
        <v>132</v>
      </c>
      <c r="D87" s="317" t="s">
        <v>404</v>
      </c>
      <c r="E87" s="379">
        <v>26.419920000000005</v>
      </c>
      <c r="F87" s="380">
        <v>35.666927999999999</v>
      </c>
      <c r="G87" s="380">
        <v>44.773343999999994</v>
      </c>
    </row>
    <row r="88" spans="1:7" x14ac:dyDescent="0.2">
      <c r="A88" s="317">
        <v>85</v>
      </c>
      <c r="B88" s="317">
        <f t="shared" si="1"/>
        <v>0</v>
      </c>
      <c r="C88" s="317" t="s">
        <v>134</v>
      </c>
      <c r="D88" s="317" t="s">
        <v>407</v>
      </c>
      <c r="E88" s="379">
        <v>52.874903999999994</v>
      </c>
      <c r="F88" s="380">
        <v>69.31183200000001</v>
      </c>
      <c r="G88" s="380">
        <v>85.090487999999993</v>
      </c>
    </row>
    <row r="89" spans="1:7" x14ac:dyDescent="0.2">
      <c r="A89" s="317">
        <v>86</v>
      </c>
      <c r="B89" s="317">
        <f t="shared" si="1"/>
        <v>0</v>
      </c>
      <c r="C89" s="317" t="s">
        <v>134</v>
      </c>
      <c r="D89" s="317" t="s">
        <v>408</v>
      </c>
      <c r="E89" s="379">
        <v>58.759152000000007</v>
      </c>
      <c r="F89" s="380">
        <v>76.856904000000014</v>
      </c>
      <c r="G89" s="380">
        <v>94.162295999999998</v>
      </c>
    </row>
    <row r="90" spans="1:7" x14ac:dyDescent="0.2">
      <c r="A90" s="317">
        <v>87</v>
      </c>
      <c r="B90" s="317">
        <f t="shared" si="1"/>
        <v>0</v>
      </c>
      <c r="C90" s="317" t="s">
        <v>136</v>
      </c>
      <c r="D90" s="317" t="s">
        <v>409</v>
      </c>
      <c r="E90" s="379">
        <v>45.549647999999998</v>
      </c>
      <c r="F90" s="380">
        <v>59.905200000000001</v>
      </c>
      <c r="G90" s="380">
        <v>72.905063999999996</v>
      </c>
    </row>
    <row r="91" spans="1:7" x14ac:dyDescent="0.2">
      <c r="A91" s="317">
        <v>88</v>
      </c>
      <c r="B91" s="317">
        <f t="shared" si="1"/>
        <v>0</v>
      </c>
      <c r="C91" s="317" t="s">
        <v>138</v>
      </c>
      <c r="D91" s="317" t="s">
        <v>410</v>
      </c>
      <c r="E91" s="379">
        <v>82.709711999999996</v>
      </c>
      <c r="F91" s="380">
        <v>108.77025600000002</v>
      </c>
      <c r="G91" s="380">
        <v>132.43428000000003</v>
      </c>
    </row>
    <row r="92" spans="1:7" x14ac:dyDescent="0.2">
      <c r="A92" s="317">
        <v>89</v>
      </c>
      <c r="B92" s="317">
        <f t="shared" si="1"/>
        <v>0</v>
      </c>
      <c r="C92" s="317" t="s">
        <v>138</v>
      </c>
      <c r="D92" s="317" t="s">
        <v>411</v>
      </c>
      <c r="E92" s="379">
        <v>61.914263999999996</v>
      </c>
      <c r="F92" s="380">
        <v>81.157488000000015</v>
      </c>
      <c r="G92" s="380">
        <v>98.565888000000001</v>
      </c>
    </row>
    <row r="93" spans="1:7" x14ac:dyDescent="0.2">
      <c r="A93" s="317">
        <v>90</v>
      </c>
      <c r="B93" s="317">
        <f t="shared" si="1"/>
        <v>0</v>
      </c>
      <c r="C93" s="317" t="s">
        <v>140</v>
      </c>
      <c r="D93" s="317" t="s">
        <v>412</v>
      </c>
      <c r="E93" s="379">
        <v>72.614976000000013</v>
      </c>
      <c r="F93" s="380">
        <v>95.548007999999996</v>
      </c>
      <c r="G93" s="380">
        <v>116.37595199999998</v>
      </c>
    </row>
    <row r="94" spans="1:7" x14ac:dyDescent="0.2">
      <c r="A94" s="317">
        <v>91</v>
      </c>
      <c r="B94" s="317">
        <f t="shared" si="1"/>
        <v>0</v>
      </c>
      <c r="C94" s="317" t="s">
        <v>140</v>
      </c>
      <c r="D94" s="317" t="s">
        <v>415</v>
      </c>
      <c r="E94" s="379">
        <v>59.892983999999998</v>
      </c>
      <c r="F94" s="380">
        <v>78.903624000000008</v>
      </c>
      <c r="G94" s="380">
        <v>97.123079999999987</v>
      </c>
    </row>
    <row r="95" spans="1:7" x14ac:dyDescent="0.2">
      <c r="A95" s="317">
        <v>92</v>
      </c>
      <c r="B95" s="317">
        <f t="shared" si="1"/>
        <v>0</v>
      </c>
      <c r="C95" s="317" t="s">
        <v>140</v>
      </c>
      <c r="D95" s="317" t="s">
        <v>416</v>
      </c>
      <c r="E95" s="379">
        <v>63.521711999999987</v>
      </c>
      <c r="F95" s="380">
        <v>83.056991999999994</v>
      </c>
      <c r="G95" s="380">
        <v>102.29592</v>
      </c>
    </row>
    <row r="96" spans="1:7" x14ac:dyDescent="0.2">
      <c r="A96" s="317">
        <v>93</v>
      </c>
      <c r="B96" s="317">
        <f t="shared" si="1"/>
        <v>0</v>
      </c>
      <c r="C96" s="317" t="s">
        <v>140</v>
      </c>
      <c r="D96" s="317" t="s">
        <v>417</v>
      </c>
      <c r="E96" s="379">
        <v>64.766831999999994</v>
      </c>
      <c r="F96" s="380">
        <v>84.672935999999993</v>
      </c>
      <c r="G96" s="380">
        <v>104.27282400000001</v>
      </c>
    </row>
    <row r="97" spans="1:7" x14ac:dyDescent="0.2">
      <c r="A97" s="317">
        <v>94</v>
      </c>
      <c r="B97" s="317">
        <f t="shared" si="1"/>
        <v>0</v>
      </c>
      <c r="C97" s="317" t="s">
        <v>140</v>
      </c>
      <c r="D97" s="317" t="s">
        <v>418</v>
      </c>
      <c r="E97" s="379">
        <v>64.708631999999994</v>
      </c>
      <c r="F97" s="380">
        <v>84.684767999999991</v>
      </c>
      <c r="G97" s="380">
        <v>104.37722400000003</v>
      </c>
    </row>
    <row r="98" spans="1:7" x14ac:dyDescent="0.2">
      <c r="A98" s="317">
        <v>95</v>
      </c>
      <c r="B98" s="317">
        <f t="shared" si="1"/>
        <v>0</v>
      </c>
      <c r="C98" s="317" t="s">
        <v>140</v>
      </c>
      <c r="D98" s="317" t="s">
        <v>419</v>
      </c>
      <c r="E98" s="379">
        <v>65.559287999999995</v>
      </c>
      <c r="F98" s="380">
        <v>85.834511999999989</v>
      </c>
      <c r="G98" s="380">
        <v>105.83011200000001</v>
      </c>
    </row>
    <row r="99" spans="1:7" x14ac:dyDescent="0.2">
      <c r="A99" s="317">
        <v>96</v>
      </c>
      <c r="B99" s="317">
        <f t="shared" si="1"/>
        <v>0</v>
      </c>
      <c r="C99" s="317" t="s">
        <v>140</v>
      </c>
      <c r="D99" s="317" t="s">
        <v>420</v>
      </c>
      <c r="E99" s="379">
        <v>77.073288000000019</v>
      </c>
      <c r="F99" s="380">
        <v>101.44418400000001</v>
      </c>
      <c r="G99" s="380">
        <v>124.79865599999999</v>
      </c>
    </row>
    <row r="100" spans="1:7" x14ac:dyDescent="0.2">
      <c r="A100" s="317">
        <v>97</v>
      </c>
      <c r="B100" s="317">
        <f t="shared" si="1"/>
        <v>0</v>
      </c>
      <c r="C100" s="317" t="s">
        <v>140</v>
      </c>
      <c r="D100" s="317" t="s">
        <v>421</v>
      </c>
      <c r="E100" s="379">
        <v>69.983136000000002</v>
      </c>
      <c r="F100" s="380">
        <v>92.303832</v>
      </c>
      <c r="G100" s="380">
        <v>113.721408</v>
      </c>
    </row>
    <row r="101" spans="1:7" x14ac:dyDescent="0.2">
      <c r="A101" s="317">
        <v>98</v>
      </c>
      <c r="B101" s="317">
        <f t="shared" si="1"/>
        <v>0</v>
      </c>
      <c r="C101" s="317" t="s">
        <v>142</v>
      </c>
      <c r="D101" s="317" t="s">
        <v>422</v>
      </c>
      <c r="E101" s="379">
        <v>89.604407999999992</v>
      </c>
      <c r="F101" s="380">
        <v>117.895296</v>
      </c>
      <c r="G101" s="380">
        <v>143.62528799999998</v>
      </c>
    </row>
    <row r="102" spans="1:7" x14ac:dyDescent="0.2">
      <c r="A102" s="317">
        <v>99</v>
      </c>
      <c r="B102" s="317">
        <f t="shared" si="1"/>
        <v>0</v>
      </c>
      <c r="C102" s="317" t="s">
        <v>142</v>
      </c>
      <c r="D102" s="317" t="s">
        <v>423</v>
      </c>
      <c r="E102" s="379">
        <v>92.407079999999993</v>
      </c>
      <c r="F102" s="380">
        <v>121.72908000000002</v>
      </c>
      <c r="G102" s="380">
        <v>148.44343200000003</v>
      </c>
    </row>
    <row r="103" spans="1:7" x14ac:dyDescent="0.2">
      <c r="A103" s="317">
        <v>100</v>
      </c>
      <c r="B103" s="317">
        <f t="shared" si="1"/>
        <v>0</v>
      </c>
      <c r="C103" s="317" t="s">
        <v>142</v>
      </c>
      <c r="D103" s="317" t="s">
        <v>424</v>
      </c>
      <c r="E103" s="379">
        <v>72.719279999999998</v>
      </c>
      <c r="F103" s="380">
        <v>95.778935999999987</v>
      </c>
      <c r="G103" s="380">
        <v>116.76007200000001</v>
      </c>
    </row>
    <row r="104" spans="1:7" x14ac:dyDescent="0.2">
      <c r="A104" s="317">
        <v>101</v>
      </c>
      <c r="B104" s="317">
        <f t="shared" si="1"/>
        <v>0</v>
      </c>
      <c r="C104" s="317" t="s">
        <v>142</v>
      </c>
      <c r="D104" s="317" t="s">
        <v>425</v>
      </c>
      <c r="E104" s="379">
        <v>77.707344000000006</v>
      </c>
      <c r="F104" s="380">
        <v>103.255608</v>
      </c>
      <c r="G104" s="380">
        <v>125.90976000000001</v>
      </c>
    </row>
    <row r="105" spans="1:7" x14ac:dyDescent="0.2">
      <c r="A105" s="317">
        <v>102</v>
      </c>
      <c r="B105" s="317">
        <f t="shared" si="1"/>
        <v>0</v>
      </c>
      <c r="C105" s="317" t="s">
        <v>142</v>
      </c>
      <c r="D105" s="317" t="s">
        <v>426</v>
      </c>
      <c r="E105" s="379">
        <v>79.478759999999994</v>
      </c>
      <c r="F105" s="380">
        <v>104.509536</v>
      </c>
      <c r="G105" s="380">
        <v>127.27315199999998</v>
      </c>
    </row>
    <row r="106" spans="1:7" x14ac:dyDescent="0.2">
      <c r="A106" s="317">
        <v>103</v>
      </c>
      <c r="B106" s="317">
        <f t="shared" si="1"/>
        <v>0</v>
      </c>
      <c r="C106" s="317" t="s">
        <v>144</v>
      </c>
      <c r="D106" s="317" t="s">
        <v>427</v>
      </c>
      <c r="E106" s="379">
        <v>52.221552000000003</v>
      </c>
      <c r="F106" s="380">
        <v>68.251655999999997</v>
      </c>
      <c r="G106" s="380">
        <v>84.018215999999995</v>
      </c>
    </row>
    <row r="107" spans="1:7" x14ac:dyDescent="0.2">
      <c r="A107" s="317">
        <v>104</v>
      </c>
      <c r="B107" s="317">
        <f t="shared" si="1"/>
        <v>0</v>
      </c>
      <c r="C107" s="317" t="s">
        <v>144</v>
      </c>
      <c r="D107" s="317" t="s">
        <v>428</v>
      </c>
      <c r="E107" s="379">
        <v>51.011231999999993</v>
      </c>
      <c r="F107" s="380">
        <v>67.174871999999993</v>
      </c>
      <c r="G107" s="380">
        <v>81.854664000000014</v>
      </c>
    </row>
    <row r="108" spans="1:7" x14ac:dyDescent="0.2">
      <c r="A108" s="317">
        <v>105</v>
      </c>
      <c r="B108" s="317">
        <f t="shared" si="1"/>
        <v>0</v>
      </c>
      <c r="C108" s="317" t="s">
        <v>144</v>
      </c>
      <c r="D108" s="317" t="s">
        <v>388</v>
      </c>
      <c r="E108" s="379">
        <v>45.755136</v>
      </c>
      <c r="F108" s="380">
        <v>60.359712000000002</v>
      </c>
      <c r="G108" s="380">
        <v>74.342016000000001</v>
      </c>
    </row>
    <row r="109" spans="1:7" x14ac:dyDescent="0.2">
      <c r="A109" s="317">
        <v>106</v>
      </c>
      <c r="B109" s="317">
        <f t="shared" si="1"/>
        <v>0</v>
      </c>
      <c r="C109" s="317" t="s">
        <v>144</v>
      </c>
      <c r="D109" s="317" t="s">
        <v>429</v>
      </c>
      <c r="E109" s="379">
        <v>51.243287999999993</v>
      </c>
      <c r="F109" s="380">
        <v>67.718688000000014</v>
      </c>
      <c r="G109" s="380">
        <v>82.711007999999993</v>
      </c>
    </row>
    <row r="110" spans="1:7" x14ac:dyDescent="0.2">
      <c r="A110" s="317">
        <v>107</v>
      </c>
      <c r="B110" s="317">
        <f t="shared" si="1"/>
        <v>0</v>
      </c>
      <c r="C110" s="317" t="s">
        <v>146</v>
      </c>
      <c r="D110" s="317" t="s">
        <v>430</v>
      </c>
      <c r="E110" s="379">
        <v>28.009152000000007</v>
      </c>
      <c r="F110" s="380">
        <v>37.544351999999996</v>
      </c>
      <c r="G110" s="380">
        <v>46.740215999999997</v>
      </c>
    </row>
    <row r="111" spans="1:7" x14ac:dyDescent="0.2">
      <c r="A111" s="317">
        <v>108</v>
      </c>
      <c r="B111" s="317">
        <f t="shared" si="1"/>
        <v>0</v>
      </c>
      <c r="C111" s="317" t="s">
        <v>146</v>
      </c>
      <c r="D111" s="317" t="s">
        <v>431</v>
      </c>
      <c r="E111" s="379">
        <v>26.646048</v>
      </c>
      <c r="F111" s="380">
        <v>35.799239999999998</v>
      </c>
      <c r="G111" s="380">
        <v>44.636567999999997</v>
      </c>
    </row>
    <row r="112" spans="1:7" x14ac:dyDescent="0.2">
      <c r="A112" s="317">
        <v>109</v>
      </c>
      <c r="B112" s="317">
        <f t="shared" si="1"/>
        <v>0</v>
      </c>
      <c r="C112" s="317" t="s">
        <v>148</v>
      </c>
      <c r="D112" s="317" t="s">
        <v>432</v>
      </c>
      <c r="E112" s="379">
        <v>60.364007999999998</v>
      </c>
      <c r="F112" s="380">
        <v>79.090272000000013</v>
      </c>
      <c r="G112" s="380">
        <v>97.031616000000014</v>
      </c>
    </row>
    <row r="113" spans="1:7" x14ac:dyDescent="0.2">
      <c r="A113" s="317">
        <v>110</v>
      </c>
      <c r="B113" s="317">
        <f t="shared" si="1"/>
        <v>0</v>
      </c>
      <c r="C113" s="317" t="s">
        <v>148</v>
      </c>
      <c r="D113" s="317" t="s">
        <v>433</v>
      </c>
      <c r="E113" s="379">
        <v>68.615279999999998</v>
      </c>
      <c r="F113" s="380">
        <v>90.506496000000013</v>
      </c>
      <c r="G113" s="380">
        <v>109.82829599999998</v>
      </c>
    </row>
    <row r="114" spans="1:7" x14ac:dyDescent="0.2">
      <c r="A114" s="317">
        <v>111</v>
      </c>
      <c r="B114" s="317">
        <f t="shared" si="1"/>
        <v>0</v>
      </c>
      <c r="C114" s="317" t="s">
        <v>148</v>
      </c>
      <c r="D114" s="317" t="s">
        <v>434</v>
      </c>
      <c r="E114" s="379">
        <v>82.574880000000007</v>
      </c>
      <c r="F114" s="380">
        <v>109.559184</v>
      </c>
      <c r="G114" s="380">
        <v>133.53028799999998</v>
      </c>
    </row>
    <row r="115" spans="1:7" x14ac:dyDescent="0.2">
      <c r="A115" s="317">
        <v>112</v>
      </c>
      <c r="B115" s="317">
        <f t="shared" si="1"/>
        <v>0</v>
      </c>
      <c r="C115" s="317" t="s">
        <v>148</v>
      </c>
      <c r="D115" s="317" t="s">
        <v>435</v>
      </c>
      <c r="E115" s="379">
        <v>67.408079999999998</v>
      </c>
      <c r="F115" s="380">
        <v>88.37248799999999</v>
      </c>
      <c r="G115" s="380">
        <v>108.46728</v>
      </c>
    </row>
    <row r="116" spans="1:7" x14ac:dyDescent="0.2">
      <c r="A116" s="317">
        <v>113</v>
      </c>
      <c r="B116" s="317">
        <f t="shared" si="1"/>
        <v>0</v>
      </c>
      <c r="C116" s="317" t="s">
        <v>148</v>
      </c>
      <c r="D116" s="317" t="s">
        <v>436</v>
      </c>
      <c r="E116" s="379">
        <v>62.569776000000005</v>
      </c>
      <c r="F116" s="380">
        <v>81.305880000000002</v>
      </c>
      <c r="G116" s="380">
        <v>99.628247999999999</v>
      </c>
    </row>
    <row r="117" spans="1:7" x14ac:dyDescent="0.2">
      <c r="A117" s="317">
        <v>114</v>
      </c>
      <c r="B117" s="317">
        <f t="shared" si="1"/>
        <v>0</v>
      </c>
      <c r="C117" s="317" t="s">
        <v>148</v>
      </c>
      <c r="D117" s="317" t="s">
        <v>437</v>
      </c>
      <c r="E117" s="379">
        <v>65.484167999999997</v>
      </c>
      <c r="F117" s="380">
        <v>85.294775999999999</v>
      </c>
      <c r="G117" s="380">
        <v>104.61499199999999</v>
      </c>
    </row>
    <row r="118" spans="1:7" x14ac:dyDescent="0.2">
      <c r="A118" s="317">
        <v>115</v>
      </c>
      <c r="B118" s="317">
        <f t="shared" si="1"/>
        <v>0</v>
      </c>
      <c r="C118" s="317" t="s">
        <v>148</v>
      </c>
      <c r="D118" s="317" t="s">
        <v>438</v>
      </c>
      <c r="E118" s="379">
        <v>68.752416000000011</v>
      </c>
      <c r="F118" s="380">
        <v>89.297832</v>
      </c>
      <c r="G118" s="380">
        <v>109.43438399999999</v>
      </c>
    </row>
    <row r="119" spans="1:7" x14ac:dyDescent="0.2">
      <c r="A119" s="317">
        <v>116</v>
      </c>
      <c r="B119" s="317">
        <f t="shared" si="1"/>
        <v>0</v>
      </c>
      <c r="C119" s="317" t="s">
        <v>148</v>
      </c>
      <c r="D119" s="317" t="s">
        <v>439</v>
      </c>
      <c r="E119" s="379">
        <v>68.669544000000002</v>
      </c>
      <c r="F119" s="380">
        <v>89.492280000000008</v>
      </c>
      <c r="G119" s="380">
        <v>110.02128000000002</v>
      </c>
    </row>
    <row r="120" spans="1:7" x14ac:dyDescent="0.2">
      <c r="A120" s="317">
        <v>117</v>
      </c>
      <c r="B120" s="317">
        <f t="shared" si="1"/>
        <v>0</v>
      </c>
      <c r="C120" s="317" t="s">
        <v>148</v>
      </c>
      <c r="D120" s="317" t="s">
        <v>440</v>
      </c>
      <c r="E120" s="379">
        <v>65.729064000000008</v>
      </c>
      <c r="F120" s="380">
        <v>85.729944000000003</v>
      </c>
      <c r="G120" s="380">
        <v>104.278728</v>
      </c>
    </row>
    <row r="121" spans="1:7" x14ac:dyDescent="0.2">
      <c r="A121" s="317">
        <v>118</v>
      </c>
      <c r="B121" s="317">
        <f t="shared" si="1"/>
        <v>0</v>
      </c>
      <c r="C121" s="317" t="s">
        <v>150</v>
      </c>
      <c r="D121" s="317" t="s">
        <v>441</v>
      </c>
      <c r="E121" s="379">
        <v>40.406664000000006</v>
      </c>
      <c r="F121" s="380">
        <v>52.797528</v>
      </c>
      <c r="G121" s="380">
        <v>64.302624000000009</v>
      </c>
    </row>
    <row r="122" spans="1:7" x14ac:dyDescent="0.2">
      <c r="A122" s="317">
        <v>119</v>
      </c>
      <c r="B122" s="317">
        <f t="shared" si="1"/>
        <v>0</v>
      </c>
      <c r="C122" s="317" t="s">
        <v>150</v>
      </c>
      <c r="D122" s="317" t="s">
        <v>444</v>
      </c>
      <c r="E122" s="379">
        <v>29.096952000000002</v>
      </c>
      <c r="F122" s="380">
        <v>39.274008000000009</v>
      </c>
      <c r="G122" s="380">
        <v>49.046880000000009</v>
      </c>
    </row>
    <row r="123" spans="1:7" x14ac:dyDescent="0.2">
      <c r="A123" s="317">
        <v>120</v>
      </c>
      <c r="B123" s="317">
        <f t="shared" si="1"/>
        <v>0</v>
      </c>
      <c r="C123" s="317" t="s">
        <v>150</v>
      </c>
      <c r="D123" s="317" t="s">
        <v>445</v>
      </c>
      <c r="E123" s="379">
        <v>34.469327999999997</v>
      </c>
      <c r="F123" s="380">
        <v>46.203167999999998</v>
      </c>
      <c r="G123" s="380">
        <v>57.254447999999989</v>
      </c>
    </row>
    <row r="124" spans="1:7" x14ac:dyDescent="0.2">
      <c r="A124" s="317">
        <v>121</v>
      </c>
      <c r="B124" s="317">
        <f t="shared" si="1"/>
        <v>0</v>
      </c>
      <c r="C124" s="317" t="s">
        <v>150</v>
      </c>
      <c r="D124" s="317" t="s">
        <v>446</v>
      </c>
      <c r="E124" s="379">
        <v>36.449856000000004</v>
      </c>
      <c r="F124" s="380">
        <v>47.642592</v>
      </c>
      <c r="G124" s="380">
        <v>58.047360000000005</v>
      </c>
    </row>
    <row r="125" spans="1:7" x14ac:dyDescent="0.2">
      <c r="A125" s="317">
        <v>122</v>
      </c>
      <c r="B125" s="317">
        <f t="shared" si="1"/>
        <v>0</v>
      </c>
      <c r="C125" s="317" t="s">
        <v>150</v>
      </c>
      <c r="D125" s="317" t="s">
        <v>447</v>
      </c>
      <c r="E125" s="379">
        <v>31.301688000000002</v>
      </c>
      <c r="F125" s="380">
        <v>41.062920000000005</v>
      </c>
      <c r="G125" s="380">
        <v>50.147568000000007</v>
      </c>
    </row>
    <row r="126" spans="1:7" x14ac:dyDescent="0.2">
      <c r="A126" s="317">
        <v>123</v>
      </c>
      <c r="B126" s="317">
        <f t="shared" si="1"/>
        <v>0</v>
      </c>
      <c r="C126" s="317" t="s">
        <v>150</v>
      </c>
      <c r="D126" s="317" t="s">
        <v>346</v>
      </c>
      <c r="E126" s="379">
        <v>29.195111999999998</v>
      </c>
      <c r="F126" s="380">
        <v>39.530087999999999</v>
      </c>
      <c r="G126" s="380">
        <v>49.068000000000005</v>
      </c>
    </row>
    <row r="127" spans="1:7" x14ac:dyDescent="0.2">
      <c r="A127" s="317">
        <v>124</v>
      </c>
      <c r="B127" s="317">
        <f t="shared" si="1"/>
        <v>0</v>
      </c>
      <c r="C127" s="317" t="s">
        <v>152</v>
      </c>
      <c r="D127" s="317" t="s">
        <v>448</v>
      </c>
      <c r="E127" s="379">
        <v>79.30192799999999</v>
      </c>
      <c r="F127" s="380">
        <v>104.479992</v>
      </c>
      <c r="G127" s="380">
        <v>127.413312</v>
      </c>
    </row>
    <row r="128" spans="1:7" x14ac:dyDescent="0.2">
      <c r="A128" s="317">
        <v>125</v>
      </c>
      <c r="B128" s="317">
        <f t="shared" si="1"/>
        <v>0</v>
      </c>
      <c r="C128" s="317" t="s">
        <v>152</v>
      </c>
      <c r="D128" s="317" t="s">
        <v>449</v>
      </c>
      <c r="E128" s="379">
        <v>86.611919999999998</v>
      </c>
      <c r="F128" s="380">
        <v>114.30542399999999</v>
      </c>
      <c r="G128" s="380">
        <v>141.061992</v>
      </c>
    </row>
    <row r="129" spans="1:7" x14ac:dyDescent="0.2">
      <c r="A129" s="317">
        <v>126</v>
      </c>
      <c r="B129" s="317">
        <f t="shared" si="1"/>
        <v>0</v>
      </c>
      <c r="C129" s="317" t="s">
        <v>152</v>
      </c>
      <c r="D129" s="317" t="s">
        <v>450</v>
      </c>
      <c r="E129" s="379">
        <v>87.025800000000004</v>
      </c>
      <c r="F129" s="380">
        <v>114.840288</v>
      </c>
      <c r="G129" s="380">
        <v>140.234712</v>
      </c>
    </row>
    <row r="130" spans="1:7" x14ac:dyDescent="0.2">
      <c r="A130" s="317">
        <v>127</v>
      </c>
      <c r="B130" s="317">
        <f t="shared" si="1"/>
        <v>0</v>
      </c>
      <c r="C130" s="317" t="s">
        <v>154</v>
      </c>
      <c r="D130" s="317" t="s">
        <v>451</v>
      </c>
      <c r="E130" s="379">
        <v>56.035536000000008</v>
      </c>
      <c r="F130" s="380">
        <v>73.768199999999993</v>
      </c>
      <c r="G130" s="380">
        <v>90.877943999999999</v>
      </c>
    </row>
    <row r="131" spans="1:7" x14ac:dyDescent="0.2">
      <c r="A131" s="317">
        <v>128</v>
      </c>
      <c r="B131" s="317">
        <f t="shared" si="1"/>
        <v>0</v>
      </c>
      <c r="C131" s="317" t="s">
        <v>154</v>
      </c>
      <c r="D131" s="317" t="s">
        <v>452</v>
      </c>
      <c r="E131" s="379">
        <v>65.198304000000007</v>
      </c>
      <c r="F131" s="380">
        <v>86.054112000000003</v>
      </c>
      <c r="G131" s="380">
        <v>105.087744</v>
      </c>
    </row>
    <row r="132" spans="1:7" x14ac:dyDescent="0.2">
      <c r="A132" s="317">
        <v>129</v>
      </c>
      <c r="B132" s="317">
        <f t="shared" ref="B132:B195" si="2">IF(C132=activestate,IF(D132=C$2,1,0),0)</f>
        <v>0</v>
      </c>
      <c r="C132" s="317" t="s">
        <v>154</v>
      </c>
      <c r="D132" s="317" t="s">
        <v>453</v>
      </c>
      <c r="E132" s="379">
        <v>56.944872000000004</v>
      </c>
      <c r="F132" s="380">
        <v>74.91676799999999</v>
      </c>
      <c r="G132" s="380">
        <v>92.222015999999996</v>
      </c>
    </row>
    <row r="133" spans="1:7" x14ac:dyDescent="0.2">
      <c r="A133" s="317">
        <v>130</v>
      </c>
      <c r="B133" s="317">
        <f t="shared" si="2"/>
        <v>0</v>
      </c>
      <c r="C133" s="317" t="s">
        <v>154</v>
      </c>
      <c r="D133" s="317" t="s">
        <v>454</v>
      </c>
      <c r="E133" s="379">
        <v>52.580975999999993</v>
      </c>
      <c r="F133" s="380">
        <v>69.366624000000002</v>
      </c>
      <c r="G133" s="380">
        <v>84.650376000000009</v>
      </c>
    </row>
    <row r="134" spans="1:7" x14ac:dyDescent="0.2">
      <c r="A134" s="317">
        <v>131</v>
      </c>
      <c r="B134" s="317">
        <f t="shared" si="2"/>
        <v>0</v>
      </c>
      <c r="C134" s="317" t="s">
        <v>154</v>
      </c>
      <c r="D134" s="317" t="s">
        <v>455</v>
      </c>
      <c r="E134" s="379">
        <v>52.205976000000007</v>
      </c>
      <c r="F134" s="380">
        <v>68.563704000000001</v>
      </c>
      <c r="G134" s="380">
        <v>83.415071999999995</v>
      </c>
    </row>
    <row r="135" spans="1:7" x14ac:dyDescent="0.2">
      <c r="A135" s="317">
        <v>132</v>
      </c>
      <c r="B135" s="317">
        <f t="shared" si="2"/>
        <v>0</v>
      </c>
      <c r="C135" s="317" t="s">
        <v>156</v>
      </c>
      <c r="D135" s="317" t="s">
        <v>456</v>
      </c>
      <c r="E135" s="379">
        <v>64.254647999999989</v>
      </c>
      <c r="F135" s="380">
        <v>84.529176000000007</v>
      </c>
      <c r="G135" s="380">
        <v>102.91884000000002</v>
      </c>
    </row>
    <row r="136" spans="1:7" x14ac:dyDescent="0.2">
      <c r="A136" s="317">
        <v>133</v>
      </c>
      <c r="B136" s="317">
        <f t="shared" si="2"/>
        <v>0</v>
      </c>
      <c r="C136" s="317" t="s">
        <v>158</v>
      </c>
      <c r="D136" s="317" t="s">
        <v>457</v>
      </c>
      <c r="E136" s="379">
        <v>48.910775999999998</v>
      </c>
      <c r="F136" s="380">
        <v>63.787776000000001</v>
      </c>
      <c r="G136" s="380">
        <v>77.599751999999995</v>
      </c>
    </row>
    <row r="137" spans="1:7" x14ac:dyDescent="0.2">
      <c r="A137" s="317">
        <v>134</v>
      </c>
      <c r="B137" s="317">
        <f t="shared" si="2"/>
        <v>0</v>
      </c>
      <c r="C137" s="317" t="s">
        <v>158</v>
      </c>
      <c r="D137" s="317" t="s">
        <v>458</v>
      </c>
      <c r="E137" s="379">
        <v>50.784192000000004</v>
      </c>
      <c r="F137" s="380">
        <v>66.273383999999993</v>
      </c>
      <c r="G137" s="380">
        <v>80.643480000000011</v>
      </c>
    </row>
    <row r="138" spans="1:7" x14ac:dyDescent="0.2">
      <c r="A138" s="317">
        <v>135</v>
      </c>
      <c r="B138" s="317">
        <f t="shared" si="2"/>
        <v>0</v>
      </c>
      <c r="C138" s="317" t="s">
        <v>161</v>
      </c>
      <c r="D138" s="317" t="s">
        <v>459</v>
      </c>
      <c r="E138" s="379">
        <v>34.750392000000005</v>
      </c>
      <c r="F138" s="380">
        <v>45.321936000000008</v>
      </c>
      <c r="G138" s="380">
        <v>55.157591999999994</v>
      </c>
    </row>
    <row r="139" spans="1:7" x14ac:dyDescent="0.2">
      <c r="A139" s="317">
        <v>136</v>
      </c>
      <c r="B139" s="317">
        <f t="shared" si="2"/>
        <v>0</v>
      </c>
      <c r="C139" s="317" t="s">
        <v>161</v>
      </c>
      <c r="D139" s="317" t="s">
        <v>460</v>
      </c>
      <c r="E139" s="379">
        <v>33.270479999999999</v>
      </c>
      <c r="F139" s="380">
        <v>43.535088000000002</v>
      </c>
      <c r="G139" s="380">
        <v>53.100599999999993</v>
      </c>
    </row>
    <row r="140" spans="1:7" x14ac:dyDescent="0.2">
      <c r="A140" s="317">
        <v>137</v>
      </c>
      <c r="B140" s="317">
        <f t="shared" si="2"/>
        <v>0</v>
      </c>
      <c r="C140" s="317" t="s">
        <v>163</v>
      </c>
      <c r="D140" s="317" t="s">
        <v>461</v>
      </c>
      <c r="E140" s="379">
        <v>51.826391999999998</v>
      </c>
      <c r="F140" s="380">
        <v>67.353912000000008</v>
      </c>
      <c r="G140" s="380">
        <v>82.573391999999998</v>
      </c>
    </row>
    <row r="141" spans="1:7" x14ac:dyDescent="0.2">
      <c r="A141" s="317">
        <v>138</v>
      </c>
      <c r="B141" s="317">
        <f t="shared" si="2"/>
        <v>0</v>
      </c>
      <c r="C141" s="317" t="s">
        <v>163</v>
      </c>
      <c r="D141" s="317" t="s">
        <v>462</v>
      </c>
      <c r="E141" s="379">
        <v>57.210144</v>
      </c>
      <c r="F141" s="380">
        <v>74.61602400000001</v>
      </c>
      <c r="G141" s="380">
        <v>90.395904000000002</v>
      </c>
    </row>
    <row r="142" spans="1:7" x14ac:dyDescent="0.2">
      <c r="A142" s="317">
        <v>139</v>
      </c>
      <c r="B142" s="317">
        <f t="shared" si="2"/>
        <v>0</v>
      </c>
      <c r="C142" s="317" t="s">
        <v>163</v>
      </c>
      <c r="D142" s="317" t="s">
        <v>463</v>
      </c>
      <c r="E142" s="379">
        <v>23.665008</v>
      </c>
      <c r="F142" s="380">
        <v>32.103168000000004</v>
      </c>
      <c r="G142" s="380">
        <v>40.077239999999996</v>
      </c>
    </row>
    <row r="143" spans="1:7" x14ac:dyDescent="0.2">
      <c r="A143" s="317">
        <v>140</v>
      </c>
      <c r="B143" s="317">
        <f t="shared" si="2"/>
        <v>0</v>
      </c>
      <c r="C143" s="317" t="s">
        <v>163</v>
      </c>
      <c r="D143" s="317" t="s">
        <v>464</v>
      </c>
      <c r="E143" s="379">
        <v>39.436775999999995</v>
      </c>
      <c r="F143" s="380">
        <v>51.990503999999994</v>
      </c>
      <c r="G143" s="380">
        <v>63.403151999999999</v>
      </c>
    </row>
    <row r="144" spans="1:7" x14ac:dyDescent="0.2">
      <c r="A144" s="317">
        <v>141</v>
      </c>
      <c r="B144" s="317">
        <f t="shared" si="2"/>
        <v>0</v>
      </c>
      <c r="C144" s="317" t="s">
        <v>163</v>
      </c>
      <c r="D144" s="317" t="s">
        <v>465</v>
      </c>
      <c r="E144" s="379">
        <v>39.820272000000003</v>
      </c>
      <c r="F144" s="380">
        <v>51.779567999999998</v>
      </c>
      <c r="G144" s="380">
        <v>63.579215999999995</v>
      </c>
    </row>
    <row r="145" spans="1:7" x14ac:dyDescent="0.2">
      <c r="A145" s="317">
        <v>142</v>
      </c>
      <c r="B145" s="317">
        <f t="shared" si="2"/>
        <v>0</v>
      </c>
      <c r="C145" s="317" t="s">
        <v>163</v>
      </c>
      <c r="D145" s="317" t="s">
        <v>466</v>
      </c>
      <c r="E145" s="379">
        <v>46.267176000000006</v>
      </c>
      <c r="F145" s="380">
        <v>60.770040000000009</v>
      </c>
      <c r="G145" s="380">
        <v>73.943904000000003</v>
      </c>
    </row>
    <row r="146" spans="1:7" x14ac:dyDescent="0.2">
      <c r="A146" s="317">
        <v>143</v>
      </c>
      <c r="B146" s="317">
        <f t="shared" si="2"/>
        <v>0</v>
      </c>
      <c r="C146" s="317" t="s">
        <v>165</v>
      </c>
      <c r="D146" s="317" t="s">
        <v>467</v>
      </c>
      <c r="E146" s="379">
        <v>62.246447999999994</v>
      </c>
      <c r="F146" s="380">
        <v>81.171551999999991</v>
      </c>
      <c r="G146" s="380">
        <v>99.798047999999994</v>
      </c>
    </row>
    <row r="147" spans="1:7" x14ac:dyDescent="0.2">
      <c r="A147" s="317">
        <v>144</v>
      </c>
      <c r="B147" s="317">
        <f t="shared" si="2"/>
        <v>0</v>
      </c>
      <c r="C147" s="317" t="s">
        <v>165</v>
      </c>
      <c r="D147" s="317" t="s">
        <v>470</v>
      </c>
      <c r="E147" s="379">
        <v>64.550087999999988</v>
      </c>
      <c r="F147" s="380">
        <v>84.05522400000001</v>
      </c>
      <c r="G147" s="380">
        <v>103.19776800000002</v>
      </c>
    </row>
    <row r="148" spans="1:7" x14ac:dyDescent="0.2">
      <c r="A148" s="317">
        <v>145</v>
      </c>
      <c r="B148" s="317">
        <f t="shared" si="2"/>
        <v>0</v>
      </c>
      <c r="C148" s="317" t="s">
        <v>165</v>
      </c>
      <c r="D148" s="317" t="s">
        <v>471</v>
      </c>
      <c r="E148" s="379">
        <v>62.513232000000002</v>
      </c>
      <c r="F148" s="380">
        <v>82.422600000000003</v>
      </c>
      <c r="G148" s="380">
        <v>100.49006399999999</v>
      </c>
    </row>
    <row r="149" spans="1:7" x14ac:dyDescent="0.2">
      <c r="A149" s="317">
        <v>146</v>
      </c>
      <c r="B149" s="317">
        <f t="shared" si="2"/>
        <v>0</v>
      </c>
      <c r="C149" s="317" t="s">
        <v>165</v>
      </c>
      <c r="D149" s="317" t="s">
        <v>472</v>
      </c>
      <c r="E149" s="379">
        <v>76.433855999999992</v>
      </c>
      <c r="F149" s="380">
        <v>99.817968000000008</v>
      </c>
      <c r="G149" s="380">
        <v>122.88163200000001</v>
      </c>
    </row>
    <row r="150" spans="1:7" x14ac:dyDescent="0.2">
      <c r="A150" s="317">
        <v>147</v>
      </c>
      <c r="B150" s="317">
        <f t="shared" si="2"/>
        <v>0</v>
      </c>
      <c r="C150" s="317" t="s">
        <v>165</v>
      </c>
      <c r="D150" s="317" t="s">
        <v>473</v>
      </c>
      <c r="E150" s="379">
        <v>50.005871999999997</v>
      </c>
      <c r="F150" s="380">
        <v>65.646168000000003</v>
      </c>
      <c r="G150" s="380">
        <v>79.771079999999998</v>
      </c>
    </row>
    <row r="151" spans="1:7" x14ac:dyDescent="0.2">
      <c r="A151" s="317">
        <v>148</v>
      </c>
      <c r="B151" s="317">
        <f t="shared" si="2"/>
        <v>0</v>
      </c>
      <c r="C151" s="317" t="s">
        <v>165</v>
      </c>
      <c r="D151" s="317" t="s">
        <v>425</v>
      </c>
      <c r="E151" s="379">
        <v>61.047480000000007</v>
      </c>
      <c r="F151" s="380">
        <v>80.502287999999993</v>
      </c>
      <c r="G151" s="380">
        <v>99.164496</v>
      </c>
    </row>
    <row r="152" spans="1:7" x14ac:dyDescent="0.2">
      <c r="A152" s="317">
        <v>149</v>
      </c>
      <c r="B152" s="317">
        <f t="shared" si="2"/>
        <v>0</v>
      </c>
      <c r="C152" s="317" t="s">
        <v>165</v>
      </c>
      <c r="D152" s="317" t="s">
        <v>476</v>
      </c>
      <c r="E152" s="379">
        <v>62.843136000000001</v>
      </c>
      <c r="F152" s="380">
        <v>82.881095999999999</v>
      </c>
      <c r="G152" s="380">
        <v>101.09016</v>
      </c>
    </row>
    <row r="153" spans="1:7" x14ac:dyDescent="0.2">
      <c r="A153" s="317">
        <v>150</v>
      </c>
      <c r="B153" s="317">
        <f t="shared" si="2"/>
        <v>0</v>
      </c>
      <c r="C153" s="317" t="s">
        <v>167</v>
      </c>
      <c r="D153" s="317" t="s">
        <v>477</v>
      </c>
      <c r="E153" s="379">
        <v>54.355440000000002</v>
      </c>
      <c r="F153" s="380">
        <v>71.610839999999996</v>
      </c>
      <c r="G153" s="380">
        <v>88.146383999999998</v>
      </c>
    </row>
    <row r="154" spans="1:7" x14ac:dyDescent="0.2">
      <c r="A154" s="317">
        <v>151</v>
      </c>
      <c r="B154" s="317">
        <f t="shared" si="2"/>
        <v>0</v>
      </c>
      <c r="C154" s="317" t="s">
        <v>167</v>
      </c>
      <c r="D154" s="317" t="s">
        <v>478</v>
      </c>
      <c r="E154" s="379">
        <v>56.729904000000005</v>
      </c>
      <c r="F154" s="380">
        <v>74.830991999999995</v>
      </c>
      <c r="G154" s="380">
        <v>91.282775999999998</v>
      </c>
    </row>
    <row r="155" spans="1:7" x14ac:dyDescent="0.2">
      <c r="A155" s="317">
        <v>152</v>
      </c>
      <c r="B155" s="317">
        <f t="shared" si="2"/>
        <v>0</v>
      </c>
      <c r="C155" s="317" t="s">
        <v>167</v>
      </c>
      <c r="D155" s="317" t="s">
        <v>359</v>
      </c>
      <c r="E155" s="379">
        <v>51.573983999999989</v>
      </c>
      <c r="F155" s="380">
        <v>68.097768000000002</v>
      </c>
      <c r="G155" s="380">
        <v>83.113439999999997</v>
      </c>
    </row>
    <row r="156" spans="1:7" x14ac:dyDescent="0.2">
      <c r="A156" s="317">
        <v>153</v>
      </c>
      <c r="B156" s="317">
        <f t="shared" si="2"/>
        <v>0</v>
      </c>
      <c r="C156" s="317" t="s">
        <v>167</v>
      </c>
      <c r="D156" s="317" t="s">
        <v>479</v>
      </c>
      <c r="E156" s="379">
        <v>54.34523999999999</v>
      </c>
      <c r="F156" s="380">
        <v>71.683103999999986</v>
      </c>
      <c r="G156" s="380">
        <v>87.425903999999989</v>
      </c>
    </row>
    <row r="157" spans="1:7" x14ac:dyDescent="0.2">
      <c r="A157" s="317">
        <v>154</v>
      </c>
      <c r="B157" s="317">
        <f t="shared" si="2"/>
        <v>0</v>
      </c>
      <c r="C157" s="317" t="s">
        <v>167</v>
      </c>
      <c r="D157" s="317" t="s">
        <v>480</v>
      </c>
      <c r="E157" s="379">
        <v>59.117111999999999</v>
      </c>
      <c r="F157" s="380">
        <v>77.395943999999986</v>
      </c>
      <c r="G157" s="380">
        <v>95.393519999999995</v>
      </c>
    </row>
    <row r="158" spans="1:7" x14ac:dyDescent="0.2">
      <c r="A158" s="317">
        <v>155</v>
      </c>
      <c r="B158" s="317">
        <f t="shared" si="2"/>
        <v>0</v>
      </c>
      <c r="C158" s="317" t="s">
        <v>167</v>
      </c>
      <c r="D158" s="317" t="s">
        <v>481</v>
      </c>
      <c r="E158" s="379">
        <v>60.366095999999999</v>
      </c>
      <c r="F158" s="380">
        <v>78.909887999999995</v>
      </c>
      <c r="G158" s="380">
        <v>97.180080000000004</v>
      </c>
    </row>
    <row r="159" spans="1:7" x14ac:dyDescent="0.2">
      <c r="A159" s="317">
        <v>156</v>
      </c>
      <c r="B159" s="317">
        <f t="shared" si="2"/>
        <v>0</v>
      </c>
      <c r="C159" s="317" t="s">
        <v>167</v>
      </c>
      <c r="D159" s="317" t="s">
        <v>482</v>
      </c>
      <c r="E159" s="379">
        <v>61.321056000000013</v>
      </c>
      <c r="F159" s="380">
        <v>80.93244</v>
      </c>
      <c r="G159" s="380">
        <v>99.731784000000005</v>
      </c>
    </row>
    <row r="160" spans="1:7" x14ac:dyDescent="0.2">
      <c r="A160" s="317">
        <v>157</v>
      </c>
      <c r="B160" s="317">
        <f t="shared" si="2"/>
        <v>0</v>
      </c>
      <c r="C160" s="317" t="s">
        <v>169</v>
      </c>
      <c r="D160" s="317" t="s">
        <v>483</v>
      </c>
      <c r="E160" s="379">
        <v>42.896736000000004</v>
      </c>
      <c r="F160" s="380">
        <v>57.74916000000001</v>
      </c>
      <c r="G160" s="380">
        <v>72.070679999999996</v>
      </c>
    </row>
    <row r="161" spans="1:7" x14ac:dyDescent="0.2">
      <c r="A161" s="317">
        <v>158</v>
      </c>
      <c r="B161" s="317">
        <f t="shared" si="2"/>
        <v>0</v>
      </c>
      <c r="C161" s="317" t="s">
        <v>169</v>
      </c>
      <c r="D161" s="317" t="s">
        <v>484</v>
      </c>
      <c r="E161" s="379">
        <v>42.857064000000001</v>
      </c>
      <c r="F161" s="380">
        <v>57.778752000000004</v>
      </c>
      <c r="G161" s="380">
        <v>72.157584</v>
      </c>
    </row>
    <row r="162" spans="1:7" x14ac:dyDescent="0.2">
      <c r="A162" s="317">
        <v>159</v>
      </c>
      <c r="B162" s="317">
        <f t="shared" si="2"/>
        <v>0</v>
      </c>
      <c r="C162" s="317" t="s">
        <v>171</v>
      </c>
      <c r="D162" s="317" t="s">
        <v>485</v>
      </c>
      <c r="E162" s="379">
        <v>31.410263999999998</v>
      </c>
      <c r="F162" s="380">
        <v>41.092895999999996</v>
      </c>
      <c r="G162" s="380">
        <v>49.675584000000001</v>
      </c>
    </row>
    <row r="163" spans="1:7" x14ac:dyDescent="0.2">
      <c r="A163" s="317">
        <v>160</v>
      </c>
      <c r="B163" s="317">
        <f t="shared" si="2"/>
        <v>0</v>
      </c>
      <c r="C163" s="317" t="s">
        <v>171</v>
      </c>
      <c r="D163" s="317" t="s">
        <v>486</v>
      </c>
      <c r="E163" s="379">
        <v>34.74024</v>
      </c>
      <c r="F163" s="380">
        <v>45.394224000000008</v>
      </c>
      <c r="G163" s="380">
        <v>55.205472</v>
      </c>
    </row>
    <row r="164" spans="1:7" x14ac:dyDescent="0.2">
      <c r="A164" s="317">
        <v>161</v>
      </c>
      <c r="B164" s="317">
        <f t="shared" si="2"/>
        <v>0</v>
      </c>
      <c r="C164" s="317" t="s">
        <v>171</v>
      </c>
      <c r="D164" s="317" t="s">
        <v>487</v>
      </c>
      <c r="E164" s="379">
        <v>39.751632000000001</v>
      </c>
      <c r="F164" s="380">
        <v>52.113191999999998</v>
      </c>
      <c r="G164" s="380">
        <v>62.982743999999997</v>
      </c>
    </row>
    <row r="165" spans="1:7" x14ac:dyDescent="0.2">
      <c r="A165" s="317">
        <v>162</v>
      </c>
      <c r="B165" s="317">
        <f t="shared" si="2"/>
        <v>0</v>
      </c>
      <c r="C165" s="317" t="s">
        <v>171</v>
      </c>
      <c r="D165" s="317" t="s">
        <v>488</v>
      </c>
      <c r="E165" s="379">
        <v>23.013168</v>
      </c>
      <c r="F165" s="380">
        <v>29.792591999999999</v>
      </c>
      <c r="G165" s="380">
        <v>36.351383999999996</v>
      </c>
    </row>
    <row r="166" spans="1:7" x14ac:dyDescent="0.2">
      <c r="A166" s="317">
        <v>163</v>
      </c>
      <c r="B166" s="317">
        <f t="shared" si="2"/>
        <v>0</v>
      </c>
      <c r="C166" s="317" t="s">
        <v>171</v>
      </c>
      <c r="D166" s="317" t="s">
        <v>489</v>
      </c>
      <c r="E166" s="379">
        <v>44.462687999999993</v>
      </c>
      <c r="F166" s="380">
        <v>58.489128000000008</v>
      </c>
      <c r="G166" s="380">
        <v>71.163408000000004</v>
      </c>
    </row>
    <row r="167" spans="1:7" x14ac:dyDescent="0.2">
      <c r="A167" s="317">
        <v>164</v>
      </c>
      <c r="B167" s="317">
        <f t="shared" si="2"/>
        <v>0</v>
      </c>
      <c r="C167" s="317" t="s">
        <v>171</v>
      </c>
      <c r="D167" s="317" t="s">
        <v>411</v>
      </c>
      <c r="E167" s="379">
        <v>36.322704000000002</v>
      </c>
      <c r="F167" s="380">
        <v>47.934359999999998</v>
      </c>
      <c r="G167" s="380">
        <v>58.376303999999998</v>
      </c>
    </row>
    <row r="168" spans="1:7" x14ac:dyDescent="0.2">
      <c r="A168" s="317">
        <v>165</v>
      </c>
      <c r="B168" s="317">
        <f t="shared" si="2"/>
        <v>0</v>
      </c>
      <c r="C168" s="317" t="s">
        <v>171</v>
      </c>
      <c r="D168" s="317" t="s">
        <v>490</v>
      </c>
      <c r="E168" s="379">
        <v>48.436368000000009</v>
      </c>
      <c r="F168" s="380">
        <v>63.033744000000006</v>
      </c>
      <c r="G168" s="380">
        <v>76.588104000000001</v>
      </c>
    </row>
    <row r="169" spans="1:7" x14ac:dyDescent="0.2">
      <c r="A169" s="317">
        <v>166</v>
      </c>
      <c r="B169" s="317">
        <f t="shared" si="2"/>
        <v>0</v>
      </c>
      <c r="C169" s="317" t="s">
        <v>171</v>
      </c>
      <c r="D169" s="317" t="s">
        <v>491</v>
      </c>
      <c r="E169" s="379">
        <v>36.586944000000003</v>
      </c>
      <c r="F169" s="380">
        <v>47.818896000000002</v>
      </c>
      <c r="G169" s="380">
        <v>58.197551999999995</v>
      </c>
    </row>
    <row r="170" spans="1:7" x14ac:dyDescent="0.2">
      <c r="A170" s="317">
        <v>167</v>
      </c>
      <c r="B170" s="317">
        <f t="shared" si="2"/>
        <v>0</v>
      </c>
      <c r="C170" s="317" t="s">
        <v>173</v>
      </c>
      <c r="D170" s="317" t="s">
        <v>492</v>
      </c>
      <c r="E170" s="379">
        <v>55.455455999999998</v>
      </c>
      <c r="F170" s="380">
        <v>72.332927999999995</v>
      </c>
      <c r="G170" s="380">
        <v>88.042079999999999</v>
      </c>
    </row>
    <row r="171" spans="1:7" x14ac:dyDescent="0.2">
      <c r="A171" s="317">
        <v>168</v>
      </c>
      <c r="B171" s="317">
        <f t="shared" si="2"/>
        <v>0</v>
      </c>
      <c r="C171" s="317" t="s">
        <v>173</v>
      </c>
      <c r="D171" s="317" t="s">
        <v>493</v>
      </c>
      <c r="E171" s="379">
        <v>69.942815999999993</v>
      </c>
      <c r="F171" s="380">
        <v>91.289423999999997</v>
      </c>
      <c r="G171" s="380">
        <v>111.15386400000001</v>
      </c>
    </row>
    <row r="172" spans="1:7" x14ac:dyDescent="0.2">
      <c r="A172" s="317">
        <v>169</v>
      </c>
      <c r="B172" s="317">
        <f t="shared" si="2"/>
        <v>0</v>
      </c>
      <c r="C172" s="317" t="s">
        <v>173</v>
      </c>
      <c r="D172" s="317" t="s">
        <v>494</v>
      </c>
      <c r="E172" s="379">
        <v>65.967216000000008</v>
      </c>
      <c r="F172" s="380">
        <v>87.129648000000003</v>
      </c>
      <c r="G172" s="380">
        <v>106.38873599999998</v>
      </c>
    </row>
    <row r="173" spans="1:7" x14ac:dyDescent="0.2">
      <c r="A173" s="317">
        <v>170</v>
      </c>
      <c r="B173" s="317">
        <f t="shared" si="2"/>
        <v>0</v>
      </c>
      <c r="C173" s="317" t="s">
        <v>173</v>
      </c>
      <c r="D173" s="317" t="s">
        <v>495</v>
      </c>
      <c r="E173" s="379">
        <v>46.221383999999993</v>
      </c>
      <c r="F173" s="380">
        <v>60.797567999999991</v>
      </c>
      <c r="G173" s="380">
        <v>74.009544000000005</v>
      </c>
    </row>
    <row r="174" spans="1:7" x14ac:dyDescent="0.2">
      <c r="A174" s="317">
        <v>171</v>
      </c>
      <c r="B174" s="317">
        <f t="shared" si="2"/>
        <v>0</v>
      </c>
      <c r="C174" s="317" t="s">
        <v>173</v>
      </c>
      <c r="D174" s="317" t="s">
        <v>496</v>
      </c>
      <c r="E174" s="379">
        <v>49.990296000000001</v>
      </c>
      <c r="F174" s="380">
        <v>65.709312000000011</v>
      </c>
      <c r="G174" s="380">
        <v>79.937207999999998</v>
      </c>
    </row>
    <row r="175" spans="1:7" x14ac:dyDescent="0.2">
      <c r="A175" s="317">
        <v>172</v>
      </c>
      <c r="B175" s="317">
        <f t="shared" si="2"/>
        <v>0</v>
      </c>
      <c r="C175" s="317" t="s">
        <v>173</v>
      </c>
      <c r="D175" s="317" t="s">
        <v>497</v>
      </c>
      <c r="E175" s="379">
        <v>53.840615999999997</v>
      </c>
      <c r="F175" s="380">
        <v>71.02879200000001</v>
      </c>
      <c r="G175" s="380">
        <v>86.639712000000003</v>
      </c>
    </row>
    <row r="176" spans="1:7" x14ac:dyDescent="0.2">
      <c r="A176" s="317">
        <v>173</v>
      </c>
      <c r="B176" s="317">
        <f t="shared" si="2"/>
        <v>0</v>
      </c>
      <c r="C176" s="317" t="s">
        <v>173</v>
      </c>
      <c r="D176" s="317" t="s">
        <v>498</v>
      </c>
      <c r="E176" s="379">
        <v>57.530184000000006</v>
      </c>
      <c r="F176" s="380">
        <v>75.669479999999993</v>
      </c>
      <c r="G176" s="380">
        <v>92.096351999999996</v>
      </c>
    </row>
    <row r="177" spans="1:7" x14ac:dyDescent="0.2">
      <c r="A177" s="317">
        <v>174</v>
      </c>
      <c r="B177" s="317">
        <f t="shared" si="2"/>
        <v>0</v>
      </c>
      <c r="C177" s="317" t="s">
        <v>173</v>
      </c>
      <c r="D177" s="317" t="s">
        <v>499</v>
      </c>
      <c r="E177" s="379">
        <v>52.247664</v>
      </c>
      <c r="F177" s="380">
        <v>68.80368</v>
      </c>
      <c r="G177" s="380">
        <v>83.805167999999995</v>
      </c>
    </row>
    <row r="178" spans="1:7" x14ac:dyDescent="0.2">
      <c r="A178" s="317">
        <v>175</v>
      </c>
      <c r="B178" s="317">
        <f t="shared" si="2"/>
        <v>0</v>
      </c>
      <c r="C178" s="317" t="s">
        <v>175</v>
      </c>
      <c r="D178" s="317" t="s">
        <v>500</v>
      </c>
      <c r="E178" s="379">
        <v>52.454328000000004</v>
      </c>
      <c r="F178" s="380">
        <v>68.788175999999993</v>
      </c>
      <c r="G178" s="380">
        <v>84.457056000000009</v>
      </c>
    </row>
    <row r="179" spans="1:7" x14ac:dyDescent="0.2">
      <c r="A179" s="317">
        <v>176</v>
      </c>
      <c r="B179" s="317">
        <f t="shared" si="2"/>
        <v>0</v>
      </c>
      <c r="C179" s="317" t="s">
        <v>177</v>
      </c>
      <c r="D179" s="317" t="s">
        <v>501</v>
      </c>
      <c r="E179" s="379">
        <v>25.988616</v>
      </c>
      <c r="F179" s="380">
        <v>35.100816000000002</v>
      </c>
      <c r="G179" s="380">
        <v>44.079167999999996</v>
      </c>
    </row>
    <row r="180" spans="1:7" x14ac:dyDescent="0.2">
      <c r="A180" s="317">
        <v>177</v>
      </c>
      <c r="B180" s="317">
        <f t="shared" si="2"/>
        <v>0</v>
      </c>
      <c r="C180" s="317" t="s">
        <v>177</v>
      </c>
      <c r="D180" s="317" t="s">
        <v>427</v>
      </c>
      <c r="E180" s="379">
        <v>28.496976</v>
      </c>
      <c r="F180" s="380">
        <v>38.487839999999998</v>
      </c>
      <c r="G180" s="380">
        <v>47.531064000000008</v>
      </c>
    </row>
    <row r="181" spans="1:7" x14ac:dyDescent="0.2">
      <c r="A181" s="317">
        <v>178</v>
      </c>
      <c r="B181" s="317">
        <f t="shared" si="2"/>
        <v>0</v>
      </c>
      <c r="C181" s="317" t="s">
        <v>177</v>
      </c>
      <c r="D181" s="317" t="s">
        <v>502</v>
      </c>
      <c r="E181" s="379">
        <v>34.385280000000002</v>
      </c>
      <c r="F181" s="380">
        <v>46.103568000000003</v>
      </c>
      <c r="G181" s="380">
        <v>57.129264000000013</v>
      </c>
    </row>
    <row r="182" spans="1:7" x14ac:dyDescent="0.2">
      <c r="A182" s="317">
        <v>179</v>
      </c>
      <c r="B182" s="317">
        <f t="shared" si="2"/>
        <v>0</v>
      </c>
      <c r="C182" s="317" t="s">
        <v>179</v>
      </c>
      <c r="D182" s="317" t="s">
        <v>503</v>
      </c>
      <c r="E182" s="379">
        <v>76.019760000000005</v>
      </c>
      <c r="F182" s="380">
        <v>100.111368</v>
      </c>
      <c r="G182" s="380">
        <v>123.32848799999999</v>
      </c>
    </row>
    <row r="183" spans="1:7" x14ac:dyDescent="0.2">
      <c r="A183" s="317">
        <v>180</v>
      </c>
      <c r="B183" s="317">
        <f t="shared" si="2"/>
        <v>0</v>
      </c>
      <c r="C183" s="317" t="s">
        <v>179</v>
      </c>
      <c r="D183" s="317" t="s">
        <v>504</v>
      </c>
      <c r="E183" s="379">
        <v>65.182079999999999</v>
      </c>
      <c r="F183" s="380">
        <v>85.813152000000002</v>
      </c>
      <c r="G183" s="380">
        <v>104.57959200000002</v>
      </c>
    </row>
    <row r="184" spans="1:7" x14ac:dyDescent="0.2">
      <c r="A184" s="317">
        <v>181</v>
      </c>
      <c r="B184" s="317">
        <f t="shared" si="2"/>
        <v>0</v>
      </c>
      <c r="C184" s="317" t="s">
        <v>179</v>
      </c>
      <c r="D184" s="317" t="s">
        <v>505</v>
      </c>
      <c r="E184" s="379">
        <v>60.722712000000016</v>
      </c>
      <c r="F184" s="380">
        <v>79.839552000000026</v>
      </c>
      <c r="G184" s="380">
        <v>97.21332000000001</v>
      </c>
    </row>
    <row r="185" spans="1:7" x14ac:dyDescent="0.2">
      <c r="A185" s="317">
        <v>182</v>
      </c>
      <c r="B185" s="317">
        <f t="shared" si="2"/>
        <v>0</v>
      </c>
      <c r="C185" s="317" t="s">
        <v>179</v>
      </c>
      <c r="D185" s="317" t="s">
        <v>506</v>
      </c>
      <c r="E185" s="379">
        <v>71.137703999999999</v>
      </c>
      <c r="F185" s="380">
        <v>93.619271999999995</v>
      </c>
      <c r="G185" s="380">
        <v>115.24907999999999</v>
      </c>
    </row>
    <row r="186" spans="1:7" x14ac:dyDescent="0.2">
      <c r="A186" s="317">
        <v>183</v>
      </c>
      <c r="B186" s="317">
        <f t="shared" si="2"/>
        <v>0</v>
      </c>
      <c r="C186" s="317" t="s">
        <v>181</v>
      </c>
      <c r="D186" s="317" t="s">
        <v>507</v>
      </c>
      <c r="E186" s="379">
        <v>37.724736</v>
      </c>
      <c r="F186" s="380">
        <v>49.360751999999998</v>
      </c>
      <c r="G186" s="380">
        <v>60.140951999999999</v>
      </c>
    </row>
    <row r="187" spans="1:7" x14ac:dyDescent="0.2">
      <c r="A187" s="317">
        <v>184</v>
      </c>
      <c r="B187" s="317">
        <f t="shared" si="2"/>
        <v>0</v>
      </c>
      <c r="C187" s="317" t="s">
        <v>181</v>
      </c>
      <c r="D187" s="317" t="s">
        <v>508</v>
      </c>
      <c r="E187" s="379">
        <v>31.879703999999997</v>
      </c>
      <c r="F187" s="380">
        <v>41.856960000000001</v>
      </c>
      <c r="G187" s="380">
        <v>51.126792000000009</v>
      </c>
    </row>
    <row r="188" spans="1:7" x14ac:dyDescent="0.2">
      <c r="A188" s="317">
        <v>185</v>
      </c>
      <c r="B188" s="317">
        <f t="shared" si="2"/>
        <v>0</v>
      </c>
      <c r="C188" s="317" t="s">
        <v>181</v>
      </c>
      <c r="D188" s="317" t="s">
        <v>509</v>
      </c>
      <c r="E188" s="379">
        <v>33.765312000000002</v>
      </c>
      <c r="F188" s="380">
        <v>43.902791999999998</v>
      </c>
      <c r="G188" s="380">
        <v>53.554728000000004</v>
      </c>
    </row>
    <row r="189" spans="1:7" x14ac:dyDescent="0.2">
      <c r="A189" s="317">
        <v>186</v>
      </c>
      <c r="B189" s="317">
        <f t="shared" si="2"/>
        <v>0</v>
      </c>
      <c r="C189" s="317" t="s">
        <v>181</v>
      </c>
      <c r="D189" s="317" t="s">
        <v>510</v>
      </c>
      <c r="E189" s="379">
        <v>34.006943999999997</v>
      </c>
      <c r="F189" s="380">
        <v>45.567311999999994</v>
      </c>
      <c r="G189" s="380">
        <v>56.949024000000001</v>
      </c>
    </row>
    <row r="190" spans="1:7" x14ac:dyDescent="0.2">
      <c r="A190" s="317">
        <v>187</v>
      </c>
      <c r="B190" s="317">
        <f t="shared" si="2"/>
        <v>0</v>
      </c>
      <c r="C190" s="317" t="s">
        <v>181</v>
      </c>
      <c r="D190" s="317" t="s">
        <v>511</v>
      </c>
      <c r="E190" s="379">
        <v>37.762391999999998</v>
      </c>
      <c r="F190" s="380">
        <v>49.559135999999995</v>
      </c>
      <c r="G190" s="380">
        <v>60.570959999999999</v>
      </c>
    </row>
    <row r="191" spans="1:7" x14ac:dyDescent="0.2">
      <c r="A191" s="317">
        <v>188</v>
      </c>
      <c r="B191" s="317">
        <f t="shared" si="2"/>
        <v>0</v>
      </c>
      <c r="C191" s="317" t="s">
        <v>183</v>
      </c>
      <c r="D191" s="317" t="s">
        <v>512</v>
      </c>
      <c r="E191" s="379">
        <v>32.092656000000005</v>
      </c>
      <c r="F191" s="380">
        <v>43.524048000000001</v>
      </c>
      <c r="G191" s="380">
        <v>54.560543999999993</v>
      </c>
    </row>
    <row r="192" spans="1:7" x14ac:dyDescent="0.2">
      <c r="A192" s="317">
        <v>189</v>
      </c>
      <c r="B192" s="317">
        <f t="shared" si="2"/>
        <v>0</v>
      </c>
      <c r="C192" s="317" t="s">
        <v>183</v>
      </c>
      <c r="D192" s="317" t="s">
        <v>515</v>
      </c>
      <c r="E192" s="379">
        <v>44.216856</v>
      </c>
      <c r="F192" s="380">
        <v>58.174152000000007</v>
      </c>
      <c r="G192" s="380">
        <v>71.564136000000019</v>
      </c>
    </row>
    <row r="193" spans="1:7" x14ac:dyDescent="0.2">
      <c r="A193" s="317">
        <v>190</v>
      </c>
      <c r="B193" s="317">
        <f t="shared" si="2"/>
        <v>0</v>
      </c>
      <c r="C193" s="317" t="s">
        <v>183</v>
      </c>
      <c r="D193" s="317" t="s">
        <v>516</v>
      </c>
      <c r="E193" s="379">
        <v>21.523727999999998</v>
      </c>
      <c r="F193" s="380">
        <v>29.338367999999999</v>
      </c>
      <c r="G193" s="380">
        <v>36.731520000000003</v>
      </c>
    </row>
    <row r="194" spans="1:7" x14ac:dyDescent="0.2">
      <c r="A194" s="317">
        <v>191</v>
      </c>
      <c r="B194" s="317">
        <f t="shared" si="2"/>
        <v>0</v>
      </c>
      <c r="C194" s="317" t="s">
        <v>183</v>
      </c>
      <c r="D194" s="317" t="s">
        <v>517</v>
      </c>
      <c r="E194" s="379">
        <v>13.144080000000001</v>
      </c>
      <c r="F194" s="380">
        <v>18.119399999999999</v>
      </c>
      <c r="G194" s="380">
        <v>23.012904000000002</v>
      </c>
    </row>
    <row r="195" spans="1:7" x14ac:dyDescent="0.2">
      <c r="A195" s="317">
        <v>192</v>
      </c>
      <c r="B195" s="317">
        <f t="shared" si="2"/>
        <v>0</v>
      </c>
      <c r="C195" s="317" t="s">
        <v>183</v>
      </c>
      <c r="D195" s="317" t="s">
        <v>518</v>
      </c>
      <c r="E195" s="379">
        <v>15.357168</v>
      </c>
      <c r="F195" s="380">
        <v>21.275063999999997</v>
      </c>
      <c r="G195" s="380">
        <v>26.757072000000001</v>
      </c>
    </row>
    <row r="196" spans="1:7" x14ac:dyDescent="0.2">
      <c r="A196" s="317">
        <v>193</v>
      </c>
      <c r="B196" s="317">
        <f t="shared" ref="B196:B243" si="3">IF(C196=activestate,IF(D196=C$2,1,0),0)</f>
        <v>0</v>
      </c>
      <c r="C196" s="317" t="s">
        <v>183</v>
      </c>
      <c r="D196" s="317" t="s">
        <v>519</v>
      </c>
      <c r="E196" s="379">
        <v>24.154536</v>
      </c>
      <c r="F196" s="380">
        <v>33.019056000000006</v>
      </c>
      <c r="G196" s="380">
        <v>41.253360000000001</v>
      </c>
    </row>
    <row r="197" spans="1:7" x14ac:dyDescent="0.2">
      <c r="A197" s="317">
        <v>194</v>
      </c>
      <c r="B197" s="317">
        <f t="shared" si="3"/>
        <v>0</v>
      </c>
      <c r="C197" s="317" t="s">
        <v>183</v>
      </c>
      <c r="D197" s="317" t="s">
        <v>520</v>
      </c>
      <c r="E197" s="379">
        <v>27.312575999999996</v>
      </c>
      <c r="F197" s="380">
        <v>36.776663999999997</v>
      </c>
      <c r="G197" s="380">
        <v>46.092144000000005</v>
      </c>
    </row>
    <row r="198" spans="1:7" x14ac:dyDescent="0.2">
      <c r="A198" s="317">
        <v>195</v>
      </c>
      <c r="B198" s="317">
        <f t="shared" si="3"/>
        <v>0</v>
      </c>
      <c r="C198" s="317" t="s">
        <v>183</v>
      </c>
      <c r="D198" s="317" t="s">
        <v>521</v>
      </c>
      <c r="E198" s="379">
        <v>19.807152000000002</v>
      </c>
      <c r="F198" s="380">
        <v>27.063744</v>
      </c>
      <c r="G198" s="380">
        <v>33.936648000000005</v>
      </c>
    </row>
    <row r="199" spans="1:7" x14ac:dyDescent="0.2">
      <c r="A199" s="317">
        <v>196</v>
      </c>
      <c r="B199" s="317">
        <f t="shared" si="3"/>
        <v>0</v>
      </c>
      <c r="C199" s="317" t="s">
        <v>183</v>
      </c>
      <c r="D199" s="317" t="s">
        <v>522</v>
      </c>
      <c r="E199" s="379">
        <v>37.668168000000001</v>
      </c>
      <c r="F199" s="380">
        <v>50.846232000000001</v>
      </c>
      <c r="G199" s="380">
        <v>63.038184000000001</v>
      </c>
    </row>
    <row r="200" spans="1:7" x14ac:dyDescent="0.2">
      <c r="A200" s="317">
        <v>197</v>
      </c>
      <c r="B200" s="317">
        <f t="shared" si="3"/>
        <v>0</v>
      </c>
      <c r="C200" s="317" t="s">
        <v>183</v>
      </c>
      <c r="D200" s="317" t="s">
        <v>523</v>
      </c>
      <c r="E200" s="379">
        <v>24.164928000000003</v>
      </c>
      <c r="F200" s="380">
        <v>33.010584000000001</v>
      </c>
      <c r="G200" s="380">
        <v>41.393087999999999</v>
      </c>
    </row>
    <row r="201" spans="1:7" x14ac:dyDescent="0.2">
      <c r="A201" s="317">
        <v>198</v>
      </c>
      <c r="B201" s="317">
        <f t="shared" si="3"/>
        <v>0</v>
      </c>
      <c r="C201" s="317" t="s">
        <v>183</v>
      </c>
      <c r="D201" s="317" t="s">
        <v>524</v>
      </c>
      <c r="E201" s="379">
        <v>30.533472000000003</v>
      </c>
      <c r="F201" s="380">
        <v>41.482320000000001</v>
      </c>
      <c r="G201" s="380">
        <v>51.628127999999997</v>
      </c>
    </row>
    <row r="202" spans="1:7" x14ac:dyDescent="0.2">
      <c r="A202" s="317">
        <v>199</v>
      </c>
      <c r="B202" s="317">
        <f t="shared" si="3"/>
        <v>0</v>
      </c>
      <c r="C202" s="317" t="s">
        <v>183</v>
      </c>
      <c r="D202" s="317" t="s">
        <v>525</v>
      </c>
      <c r="E202" s="379">
        <v>32.623511999999998</v>
      </c>
      <c r="F202" s="380">
        <v>44.254151999999998</v>
      </c>
      <c r="G202" s="380">
        <v>55.024559999999994</v>
      </c>
    </row>
    <row r="203" spans="1:7" x14ac:dyDescent="0.2">
      <c r="A203" s="317">
        <v>200</v>
      </c>
      <c r="B203" s="317">
        <f t="shared" si="3"/>
        <v>0</v>
      </c>
      <c r="C203" s="317" t="s">
        <v>183</v>
      </c>
      <c r="D203" s="317" t="s">
        <v>526</v>
      </c>
      <c r="E203" s="379">
        <v>16.445376</v>
      </c>
      <c r="F203" s="380">
        <v>22.529039999999998</v>
      </c>
      <c r="G203" s="380">
        <v>28.525584000000002</v>
      </c>
    </row>
    <row r="204" spans="1:7" x14ac:dyDescent="0.2">
      <c r="A204" s="317">
        <v>201</v>
      </c>
      <c r="B204" s="317">
        <f t="shared" si="3"/>
        <v>0</v>
      </c>
      <c r="C204" s="317" t="s">
        <v>183</v>
      </c>
      <c r="D204" s="317" t="s">
        <v>527</v>
      </c>
      <c r="E204" s="379">
        <v>27.388343999999996</v>
      </c>
      <c r="F204" s="380">
        <v>37.468319999999999</v>
      </c>
      <c r="G204" s="380">
        <v>47.208792000000003</v>
      </c>
    </row>
    <row r="205" spans="1:7" x14ac:dyDescent="0.2">
      <c r="A205" s="317">
        <v>202</v>
      </c>
      <c r="B205" s="317">
        <f t="shared" si="3"/>
        <v>0</v>
      </c>
      <c r="C205" s="317" t="s">
        <v>183</v>
      </c>
      <c r="D205" s="317" t="s">
        <v>528</v>
      </c>
      <c r="E205" s="379">
        <v>38.54712</v>
      </c>
      <c r="F205" s="380">
        <v>52.163184000000001</v>
      </c>
      <c r="G205" s="380">
        <v>64.768224000000004</v>
      </c>
    </row>
    <row r="206" spans="1:7" x14ac:dyDescent="0.2">
      <c r="A206" s="317">
        <v>203</v>
      </c>
      <c r="B206" s="317">
        <f t="shared" si="3"/>
        <v>1</v>
      </c>
      <c r="C206" s="317" t="s">
        <v>86</v>
      </c>
      <c r="D206" s="317"/>
      <c r="E206" s="379">
        <v>49.469595263157885</v>
      </c>
      <c r="F206" s="380">
        <v>65.263807999999955</v>
      </c>
      <c r="G206" s="380">
        <v>80.04382378947372</v>
      </c>
    </row>
    <row r="207" spans="1:7" x14ac:dyDescent="0.2">
      <c r="A207" s="317">
        <v>204</v>
      </c>
      <c r="B207" s="317">
        <f t="shared" si="3"/>
        <v>0</v>
      </c>
      <c r="C207" s="317" t="s">
        <v>185</v>
      </c>
      <c r="D207" s="317" t="s">
        <v>529</v>
      </c>
      <c r="E207" s="379">
        <v>43.593119999999999</v>
      </c>
      <c r="F207" s="380">
        <v>56.616816</v>
      </c>
      <c r="G207" s="380">
        <v>68.737176000000005</v>
      </c>
    </row>
    <row r="208" spans="1:7" x14ac:dyDescent="0.2">
      <c r="A208" s="317">
        <v>205</v>
      </c>
      <c r="B208" s="317">
        <f t="shared" si="3"/>
        <v>0</v>
      </c>
      <c r="C208" s="317" t="s">
        <v>185</v>
      </c>
      <c r="D208" s="317" t="s">
        <v>530</v>
      </c>
      <c r="E208" s="379">
        <v>44.005344000000008</v>
      </c>
      <c r="F208" s="380">
        <v>57.794423999999999</v>
      </c>
      <c r="G208" s="380">
        <v>70.264199999999988</v>
      </c>
    </row>
    <row r="209" spans="1:7" x14ac:dyDescent="0.2">
      <c r="A209" s="317">
        <v>206</v>
      </c>
      <c r="B209" s="317">
        <f t="shared" si="3"/>
        <v>0</v>
      </c>
      <c r="C209" s="317" t="s">
        <v>187</v>
      </c>
      <c r="D209" s="317" t="s">
        <v>531</v>
      </c>
      <c r="E209" s="379">
        <v>39.168864000000006</v>
      </c>
      <c r="F209" s="380">
        <v>51.492672000000006</v>
      </c>
      <c r="G209" s="380">
        <v>62.641343999999989</v>
      </c>
    </row>
    <row r="210" spans="1:7" x14ac:dyDescent="0.2">
      <c r="A210" s="317">
        <v>207</v>
      </c>
      <c r="B210" s="317">
        <f t="shared" si="3"/>
        <v>0</v>
      </c>
      <c r="C210" s="317" t="s">
        <v>187</v>
      </c>
      <c r="D210" s="317" t="s">
        <v>452</v>
      </c>
      <c r="E210" s="379">
        <v>32.913143999999996</v>
      </c>
      <c r="F210" s="380">
        <v>43.402824000000003</v>
      </c>
      <c r="G210" s="380">
        <v>52.879296000000011</v>
      </c>
    </row>
    <row r="211" spans="1:7" x14ac:dyDescent="0.2">
      <c r="A211" s="317">
        <v>208</v>
      </c>
      <c r="B211" s="317">
        <f t="shared" si="3"/>
        <v>0</v>
      </c>
      <c r="C211" s="317" t="s">
        <v>187</v>
      </c>
      <c r="D211" s="317" t="s">
        <v>532</v>
      </c>
      <c r="E211" s="379">
        <v>34.488624000000002</v>
      </c>
      <c r="F211" s="380">
        <v>45.464592000000003</v>
      </c>
      <c r="G211" s="380">
        <v>55.407768000000019</v>
      </c>
    </row>
    <row r="212" spans="1:7" x14ac:dyDescent="0.2">
      <c r="A212" s="317">
        <v>209</v>
      </c>
      <c r="B212" s="317">
        <f t="shared" si="3"/>
        <v>0</v>
      </c>
      <c r="C212" s="317" t="s">
        <v>187</v>
      </c>
      <c r="D212" s="317" t="s">
        <v>533</v>
      </c>
      <c r="E212" s="379">
        <v>39.257040000000003</v>
      </c>
      <c r="F212" s="380">
        <v>51.707207999999994</v>
      </c>
      <c r="G212" s="380">
        <v>62.977488000000001</v>
      </c>
    </row>
    <row r="213" spans="1:7" x14ac:dyDescent="0.2">
      <c r="A213" s="317">
        <v>210</v>
      </c>
      <c r="B213" s="317">
        <f t="shared" si="3"/>
        <v>0</v>
      </c>
      <c r="C213" s="317" t="s">
        <v>187</v>
      </c>
      <c r="D213" s="317" t="s">
        <v>534</v>
      </c>
      <c r="E213" s="379">
        <v>50.067575999999988</v>
      </c>
      <c r="F213" s="380">
        <v>65.946408000000005</v>
      </c>
      <c r="G213" s="380">
        <v>80.356704000000008</v>
      </c>
    </row>
    <row r="214" spans="1:7" x14ac:dyDescent="0.2">
      <c r="A214" s="317">
        <v>211</v>
      </c>
      <c r="B214" s="317">
        <f t="shared" si="3"/>
        <v>0</v>
      </c>
      <c r="C214" s="317" t="s">
        <v>189</v>
      </c>
      <c r="D214" s="317" t="s">
        <v>535</v>
      </c>
      <c r="E214" s="379">
        <v>70.032960000000003</v>
      </c>
      <c r="F214" s="380">
        <v>92.243471999999997</v>
      </c>
      <c r="G214" s="380">
        <v>113.56759199999999</v>
      </c>
    </row>
    <row r="215" spans="1:7" x14ac:dyDescent="0.2">
      <c r="A215" s="317">
        <v>212</v>
      </c>
      <c r="B215" s="317">
        <f t="shared" si="3"/>
        <v>0</v>
      </c>
      <c r="C215" s="317" t="s">
        <v>191</v>
      </c>
      <c r="D215" s="317" t="s">
        <v>536</v>
      </c>
      <c r="E215" s="379">
        <v>42.373583999999994</v>
      </c>
      <c r="F215" s="380">
        <v>55.387535999999997</v>
      </c>
      <c r="G215" s="380">
        <v>68.060352000000009</v>
      </c>
    </row>
    <row r="216" spans="1:7" x14ac:dyDescent="0.2">
      <c r="A216" s="317">
        <v>213</v>
      </c>
      <c r="B216" s="317">
        <f t="shared" si="3"/>
        <v>0</v>
      </c>
      <c r="C216" s="317" t="s">
        <v>191</v>
      </c>
      <c r="D216" s="317" t="s">
        <v>537</v>
      </c>
      <c r="E216" s="379">
        <v>36.172008000000005</v>
      </c>
      <c r="F216" s="380">
        <v>47.008344000000001</v>
      </c>
      <c r="G216" s="380">
        <v>57.478992000000005</v>
      </c>
    </row>
    <row r="217" spans="1:7" x14ac:dyDescent="0.2">
      <c r="A217" s="317">
        <v>214</v>
      </c>
      <c r="B217" s="317">
        <f t="shared" si="3"/>
        <v>0</v>
      </c>
      <c r="C217" s="317" t="s">
        <v>191</v>
      </c>
      <c r="D217" s="317" t="s">
        <v>538</v>
      </c>
      <c r="E217" s="379">
        <v>37.623503999999997</v>
      </c>
      <c r="F217" s="380">
        <v>49.476527999999995</v>
      </c>
      <c r="G217" s="380">
        <v>60.090984000000006</v>
      </c>
    </row>
    <row r="218" spans="1:7" x14ac:dyDescent="0.2">
      <c r="A218" s="317">
        <v>215</v>
      </c>
      <c r="B218" s="317">
        <f t="shared" si="3"/>
        <v>0</v>
      </c>
      <c r="C218" s="317" t="s">
        <v>191</v>
      </c>
      <c r="D218" s="317" t="s">
        <v>539</v>
      </c>
      <c r="E218" s="379">
        <v>55.130375999999991</v>
      </c>
      <c r="F218" s="380">
        <v>72.41234399999999</v>
      </c>
      <c r="G218" s="380">
        <v>88.054128000000006</v>
      </c>
    </row>
    <row r="219" spans="1:7" x14ac:dyDescent="0.2">
      <c r="A219" s="317">
        <v>216</v>
      </c>
      <c r="B219" s="317">
        <f t="shared" si="3"/>
        <v>0</v>
      </c>
      <c r="C219" s="317" t="s">
        <v>191</v>
      </c>
      <c r="D219" s="317" t="s">
        <v>540</v>
      </c>
      <c r="E219" s="379">
        <v>48.388151999999998</v>
      </c>
      <c r="F219" s="380">
        <v>63.295344</v>
      </c>
      <c r="G219" s="380">
        <v>77.162447999999998</v>
      </c>
    </row>
    <row r="220" spans="1:7" x14ac:dyDescent="0.2">
      <c r="A220" s="317">
        <v>217</v>
      </c>
      <c r="B220" s="317">
        <f t="shared" si="3"/>
        <v>0</v>
      </c>
      <c r="C220" s="317" t="s">
        <v>193</v>
      </c>
      <c r="D220" s="317" t="s">
        <v>541</v>
      </c>
      <c r="E220" s="379">
        <v>77.629103999999998</v>
      </c>
      <c r="F220" s="380">
        <v>102.200472</v>
      </c>
      <c r="G220" s="380">
        <v>125.79804</v>
      </c>
    </row>
    <row r="221" spans="1:7" x14ac:dyDescent="0.2">
      <c r="A221" s="317">
        <v>218</v>
      </c>
      <c r="B221" s="317">
        <f t="shared" si="3"/>
        <v>0</v>
      </c>
      <c r="C221" s="317" t="s">
        <v>193</v>
      </c>
      <c r="D221" s="317" t="s">
        <v>542</v>
      </c>
      <c r="E221" s="379">
        <v>76.195463999999987</v>
      </c>
      <c r="F221" s="380">
        <v>100.31606400000001</v>
      </c>
      <c r="G221" s="380">
        <v>123.49027199999999</v>
      </c>
    </row>
    <row r="222" spans="1:7" x14ac:dyDescent="0.2">
      <c r="A222" s="317">
        <v>219</v>
      </c>
      <c r="B222" s="317">
        <f t="shared" si="3"/>
        <v>0</v>
      </c>
      <c r="C222" s="317" t="s">
        <v>193</v>
      </c>
      <c r="D222" s="317" t="s">
        <v>545</v>
      </c>
      <c r="E222" s="379">
        <v>68.448792000000012</v>
      </c>
      <c r="F222" s="380">
        <v>90.176423999999997</v>
      </c>
      <c r="G222" s="380">
        <v>109.94296800000001</v>
      </c>
    </row>
    <row r="223" spans="1:7" x14ac:dyDescent="0.2">
      <c r="A223" s="317">
        <v>220</v>
      </c>
      <c r="B223" s="317">
        <f t="shared" si="3"/>
        <v>0</v>
      </c>
      <c r="C223" s="317" t="s">
        <v>193</v>
      </c>
      <c r="D223" s="317" t="s">
        <v>546</v>
      </c>
      <c r="E223" s="379">
        <v>65.382815999999991</v>
      </c>
      <c r="F223" s="380">
        <v>85.965095999999988</v>
      </c>
      <c r="G223" s="380">
        <v>105.71018400000003</v>
      </c>
    </row>
    <row r="224" spans="1:7" x14ac:dyDescent="0.2">
      <c r="A224" s="317">
        <v>221</v>
      </c>
      <c r="B224" s="317">
        <f t="shared" si="3"/>
        <v>0</v>
      </c>
      <c r="C224" s="317" t="s">
        <v>193</v>
      </c>
      <c r="D224" s="317" t="s">
        <v>547</v>
      </c>
      <c r="E224" s="379">
        <v>68.645784000000006</v>
      </c>
      <c r="F224" s="380">
        <v>90.305256</v>
      </c>
      <c r="G224" s="380">
        <v>109.96339200000001</v>
      </c>
    </row>
    <row r="225" spans="1:8" x14ac:dyDescent="0.2">
      <c r="A225" s="317">
        <v>222</v>
      </c>
      <c r="B225" s="317">
        <f t="shared" si="3"/>
        <v>0</v>
      </c>
      <c r="C225" s="317" t="s">
        <v>195</v>
      </c>
      <c r="D225" s="317" t="s">
        <v>501</v>
      </c>
      <c r="E225" s="379">
        <v>42.644831999999994</v>
      </c>
      <c r="F225" s="380">
        <v>55.929959999999994</v>
      </c>
      <c r="G225" s="380">
        <v>68.273183999999986</v>
      </c>
      <c r="H225" s="317"/>
    </row>
    <row r="226" spans="1:8" x14ac:dyDescent="0.2">
      <c r="A226" s="317">
        <v>223</v>
      </c>
      <c r="B226" s="317">
        <f t="shared" si="3"/>
        <v>0</v>
      </c>
      <c r="C226" s="317" t="s">
        <v>195</v>
      </c>
      <c r="D226" s="317" t="s">
        <v>548</v>
      </c>
      <c r="E226" s="379">
        <v>52.430064000000002</v>
      </c>
      <c r="F226" s="380">
        <v>68.614848000000009</v>
      </c>
      <c r="G226" s="380">
        <v>83.676216000000011</v>
      </c>
      <c r="H226" s="317"/>
    </row>
    <row r="227" spans="1:8" x14ac:dyDescent="0.2">
      <c r="A227" s="317">
        <v>224</v>
      </c>
      <c r="B227" s="317">
        <f t="shared" si="3"/>
        <v>0</v>
      </c>
      <c r="C227" s="317" t="s">
        <v>195</v>
      </c>
      <c r="D227" s="317" t="s">
        <v>549</v>
      </c>
      <c r="E227" s="379">
        <v>43.979256000000007</v>
      </c>
      <c r="F227" s="380">
        <v>57.649992000000005</v>
      </c>
      <c r="G227" s="380">
        <v>70.355832000000007</v>
      </c>
      <c r="H227" s="317"/>
    </row>
    <row r="228" spans="1:8" x14ac:dyDescent="0.2">
      <c r="A228" s="317">
        <v>225</v>
      </c>
      <c r="B228" s="317">
        <f t="shared" si="3"/>
        <v>0</v>
      </c>
      <c r="C228" s="317" t="s">
        <v>197</v>
      </c>
      <c r="D228" s="317" t="s">
        <v>550</v>
      </c>
      <c r="E228" s="379">
        <v>63.309023999999994</v>
      </c>
      <c r="F228" s="380">
        <v>83.322528000000005</v>
      </c>
      <c r="G228" s="380">
        <v>101.97026399999999</v>
      </c>
      <c r="H228" s="317"/>
    </row>
    <row r="229" spans="1:8" x14ac:dyDescent="0.2">
      <c r="A229" s="317">
        <v>226</v>
      </c>
      <c r="B229" s="317">
        <f t="shared" si="3"/>
        <v>0</v>
      </c>
      <c r="C229" s="317" t="s">
        <v>197</v>
      </c>
      <c r="D229" s="317" t="s">
        <v>551</v>
      </c>
      <c r="E229" s="379">
        <v>55.74148799999999</v>
      </c>
      <c r="F229" s="380">
        <v>72.559944000000002</v>
      </c>
      <c r="G229" s="380">
        <v>88.626623999999993</v>
      </c>
      <c r="H229" s="317"/>
    </row>
    <row r="230" spans="1:8" x14ac:dyDescent="0.2">
      <c r="A230" s="317">
        <v>227</v>
      </c>
      <c r="B230" s="317">
        <f t="shared" si="3"/>
        <v>0</v>
      </c>
      <c r="C230" s="317" t="s">
        <v>197</v>
      </c>
      <c r="D230" s="317" t="s">
        <v>552</v>
      </c>
      <c r="E230" s="379">
        <v>53.530968000000001</v>
      </c>
      <c r="F230" s="380">
        <v>70.106232000000006</v>
      </c>
      <c r="G230" s="380">
        <v>85.479960000000005</v>
      </c>
      <c r="H230" s="317"/>
    </row>
    <row r="231" spans="1:8" x14ac:dyDescent="0.2">
      <c r="A231" s="317">
        <v>228</v>
      </c>
      <c r="B231" s="317">
        <f t="shared" si="3"/>
        <v>0</v>
      </c>
      <c r="C231" s="317" t="s">
        <v>197</v>
      </c>
      <c r="D231" s="317" t="s">
        <v>553</v>
      </c>
      <c r="E231" s="379">
        <v>64.767335999999986</v>
      </c>
      <c r="F231" s="380">
        <v>84.203952000000001</v>
      </c>
      <c r="G231" s="380">
        <v>101.73938399999999</v>
      </c>
      <c r="H231" s="317"/>
    </row>
    <row r="232" spans="1:8" x14ac:dyDescent="0.2">
      <c r="A232" s="317">
        <v>229</v>
      </c>
      <c r="B232" s="317">
        <f t="shared" si="3"/>
        <v>0</v>
      </c>
      <c r="C232" s="317" t="s">
        <v>197</v>
      </c>
      <c r="D232" s="317" t="s">
        <v>554</v>
      </c>
      <c r="E232" s="379">
        <v>58.832975999999988</v>
      </c>
      <c r="F232" s="380">
        <v>77.031695999999997</v>
      </c>
      <c r="G232" s="380">
        <v>93.517656000000017</v>
      </c>
      <c r="H232" s="317"/>
    </row>
    <row r="233" spans="1:8" x14ac:dyDescent="0.2">
      <c r="A233" s="317">
        <v>230</v>
      </c>
      <c r="B233" s="317">
        <f t="shared" si="3"/>
        <v>0</v>
      </c>
      <c r="C233" s="317" t="s">
        <v>201</v>
      </c>
      <c r="D233" s="317"/>
      <c r="E233" s="379">
        <v>60.364007999999998</v>
      </c>
      <c r="F233" s="379">
        <v>79.090272000000013</v>
      </c>
      <c r="G233" s="379">
        <v>97.031616000000014</v>
      </c>
      <c r="H233" s="317" t="s">
        <v>569</v>
      </c>
    </row>
    <row r="234" spans="1:8" x14ac:dyDescent="0.2">
      <c r="A234" s="317">
        <v>231</v>
      </c>
      <c r="B234" s="317">
        <f t="shared" si="3"/>
        <v>0</v>
      </c>
      <c r="C234" s="317" t="s">
        <v>203</v>
      </c>
      <c r="D234" s="317"/>
      <c r="E234" s="379">
        <v>37.623503999999997</v>
      </c>
      <c r="F234" s="380">
        <v>49.476527999999995</v>
      </c>
      <c r="G234" s="380">
        <v>60.090984000000006</v>
      </c>
      <c r="H234" s="317" t="s">
        <v>570</v>
      </c>
    </row>
    <row r="235" spans="1:8" x14ac:dyDescent="0.2">
      <c r="A235" s="317">
        <v>232</v>
      </c>
      <c r="B235" s="317">
        <f t="shared" si="3"/>
        <v>0</v>
      </c>
      <c r="C235" s="317" t="s">
        <v>205</v>
      </c>
      <c r="D235" s="317"/>
      <c r="E235" s="379">
        <v>76.195463999999987</v>
      </c>
      <c r="F235" s="380">
        <v>100.31606400000001</v>
      </c>
      <c r="G235" s="380">
        <v>123.49027199999999</v>
      </c>
      <c r="H235" s="317" t="s">
        <v>571</v>
      </c>
    </row>
    <row r="236" spans="1:8" x14ac:dyDescent="0.2">
      <c r="A236" s="317">
        <v>233</v>
      </c>
      <c r="B236" s="317">
        <f t="shared" si="3"/>
        <v>0</v>
      </c>
      <c r="C236" s="317" t="s">
        <v>207</v>
      </c>
      <c r="D236" s="317"/>
      <c r="E236" s="379">
        <v>61.914263999999996</v>
      </c>
      <c r="F236" s="380">
        <v>81.157488000000015</v>
      </c>
      <c r="G236" s="380">
        <v>98.565888000000001</v>
      </c>
      <c r="H236" s="317" t="s">
        <v>572</v>
      </c>
    </row>
    <row r="237" spans="1:8" x14ac:dyDescent="0.2">
      <c r="A237" s="317">
        <v>234</v>
      </c>
      <c r="B237" s="317">
        <f t="shared" si="3"/>
        <v>0</v>
      </c>
      <c r="C237" s="317" t="s">
        <v>209</v>
      </c>
      <c r="D237" s="317"/>
      <c r="E237" s="379">
        <v>89.101272000000009</v>
      </c>
      <c r="F237" s="380">
        <v>117.44049599999998</v>
      </c>
      <c r="G237" s="380">
        <v>144.55022399999999</v>
      </c>
      <c r="H237" s="317" t="s">
        <v>573</v>
      </c>
    </row>
    <row r="238" spans="1:8" x14ac:dyDescent="0.2">
      <c r="A238" s="317">
        <v>235</v>
      </c>
      <c r="B238" s="317">
        <f t="shared" si="3"/>
        <v>0</v>
      </c>
      <c r="C238" s="317" t="s">
        <v>211</v>
      </c>
      <c r="D238" s="317"/>
      <c r="E238" s="379">
        <v>61.914263999999996</v>
      </c>
      <c r="F238" s="380">
        <v>81.157488000000015</v>
      </c>
      <c r="G238" s="380">
        <v>98.565888000000001</v>
      </c>
      <c r="H238" s="317" t="s">
        <v>572</v>
      </c>
    </row>
    <row r="239" spans="1:8" x14ac:dyDescent="0.2">
      <c r="A239" s="317">
        <v>236</v>
      </c>
      <c r="B239" s="317">
        <f t="shared" si="3"/>
        <v>0</v>
      </c>
      <c r="C239" s="317" t="s">
        <v>213</v>
      </c>
      <c r="D239" s="317"/>
      <c r="E239" s="379">
        <v>64.708631999999994</v>
      </c>
      <c r="F239" s="380">
        <v>84.684767999999991</v>
      </c>
      <c r="G239" s="380">
        <v>104.37722400000003</v>
      </c>
      <c r="H239" s="317" t="s">
        <v>574</v>
      </c>
    </row>
    <row r="240" spans="1:8" x14ac:dyDescent="0.2">
      <c r="A240" s="317">
        <v>237</v>
      </c>
      <c r="B240" s="317">
        <f t="shared" si="3"/>
        <v>0</v>
      </c>
      <c r="C240" s="317" t="s">
        <v>215</v>
      </c>
      <c r="D240" s="317"/>
      <c r="E240" s="379">
        <v>61.914263999999996</v>
      </c>
      <c r="F240" s="380">
        <v>81.157488000000015</v>
      </c>
      <c r="G240" s="380">
        <v>98.565888000000001</v>
      </c>
      <c r="H240" s="317" t="s">
        <v>572</v>
      </c>
    </row>
    <row r="241" spans="1:8" x14ac:dyDescent="0.2">
      <c r="A241" s="317">
        <v>238</v>
      </c>
      <c r="B241" s="317">
        <f t="shared" si="3"/>
        <v>0</v>
      </c>
      <c r="C241" s="317" t="s">
        <v>217</v>
      </c>
      <c r="D241" s="317"/>
      <c r="E241" s="379">
        <v>61.914263999999996</v>
      </c>
      <c r="F241" s="380">
        <v>81.157488000000015</v>
      </c>
      <c r="G241" s="380">
        <v>98.565888000000001</v>
      </c>
      <c r="H241" s="317" t="s">
        <v>572</v>
      </c>
    </row>
    <row r="242" spans="1:8" x14ac:dyDescent="0.2">
      <c r="A242" s="317">
        <v>239</v>
      </c>
      <c r="B242" s="317">
        <f t="shared" si="3"/>
        <v>0</v>
      </c>
      <c r="C242" s="317" t="s">
        <v>219</v>
      </c>
      <c r="D242" s="317"/>
      <c r="E242" s="379">
        <v>86.611919999999998</v>
      </c>
      <c r="F242" s="380">
        <v>114.30542399999999</v>
      </c>
      <c r="G242" s="380">
        <v>141.061992</v>
      </c>
      <c r="H242" s="317" t="s">
        <v>575</v>
      </c>
    </row>
    <row r="243" spans="1:8" x14ac:dyDescent="0.2">
      <c r="A243" s="317">
        <v>240</v>
      </c>
      <c r="B243" s="317">
        <f t="shared" si="3"/>
        <v>0</v>
      </c>
      <c r="C243" s="375" t="s">
        <v>199</v>
      </c>
      <c r="D243" s="317"/>
      <c r="E243" s="379">
        <v>66.23</v>
      </c>
      <c r="F243" s="380">
        <v>86.99</v>
      </c>
      <c r="G243" s="380">
        <v>106.49</v>
      </c>
      <c r="H243" s="317"/>
    </row>
  </sheetData>
  <phoneticPr fontId="23" type="noConversion"/>
  <pageMargins left="0.75" right="0.75" top="1" bottom="1" header="0.5" footer="0.5"/>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01150A-707A-4168-945E-590249C0E63B}">
  <sheetPr codeName="Sheet8"/>
  <dimension ref="A1:N246"/>
  <sheetViews>
    <sheetView workbookViewId="0">
      <selection activeCell="F52" sqref="F52"/>
    </sheetView>
  </sheetViews>
  <sheetFormatPr defaultRowHeight="12.75" x14ac:dyDescent="0.2"/>
  <cols>
    <col min="4" max="4" width="19.42578125" customWidth="1"/>
    <col min="5" max="7" width="14.5703125" style="23" customWidth="1"/>
    <col min="8" max="8" width="12.28515625" customWidth="1"/>
  </cols>
  <sheetData>
    <row r="1" spans="1:14" x14ac:dyDescent="0.2">
      <c r="B1" s="317"/>
      <c r="C1" s="317"/>
      <c r="D1" s="317" t="s">
        <v>576</v>
      </c>
      <c r="E1" s="317" t="s">
        <v>577</v>
      </c>
      <c r="F1" s="317" t="s">
        <v>578</v>
      </c>
      <c r="G1" s="317" t="s">
        <v>579</v>
      </c>
      <c r="H1" s="317"/>
      <c r="I1" s="317"/>
    </row>
    <row r="2" spans="1:14" x14ac:dyDescent="0.2">
      <c r="B2" s="375" t="str">
        <f>activestate</f>
        <v>US</v>
      </c>
      <c r="C2" s="375" t="str">
        <f>LOOKUP(city,Lists!G119:G133,Lists!H119:H133)</f>
        <v/>
      </c>
      <c r="D2" s="375"/>
      <c r="E2" s="376">
        <f>VLOOKUP(1,B7:E246,4,0)</f>
        <v>6.7278185050535928</v>
      </c>
      <c r="F2" s="376">
        <f>VLOOKUP(1,B7:F246,5,0)</f>
        <v>6.8949319540895111</v>
      </c>
      <c r="G2" s="376">
        <f>VLOOKUP(1,B7:G246,6,0)</f>
        <v>7.6689391992691007</v>
      </c>
      <c r="H2" s="381"/>
      <c r="I2" s="381"/>
    </row>
    <row r="3" spans="1:14" ht="13.5" thickBot="1" x14ac:dyDescent="0.25">
      <c r="J3" s="427" t="s">
        <v>580</v>
      </c>
    </row>
    <row r="4" spans="1:14" x14ac:dyDescent="0.2">
      <c r="E4" s="563" t="s">
        <v>581</v>
      </c>
      <c r="F4" s="563"/>
      <c r="G4" s="564"/>
    </row>
    <row r="5" spans="1:14" ht="13.5" thickBot="1" x14ac:dyDescent="0.25">
      <c r="E5" s="565" t="s">
        <v>582</v>
      </c>
      <c r="F5" s="565"/>
      <c r="G5" s="566"/>
    </row>
    <row r="6" spans="1:14" ht="39" thickBot="1" x14ac:dyDescent="0.25">
      <c r="A6" s="382"/>
      <c r="B6" s="382"/>
      <c r="C6" s="20" t="s">
        <v>82</v>
      </c>
      <c r="D6" s="20" t="s">
        <v>282</v>
      </c>
      <c r="E6" s="17">
        <v>8.8000000000000007</v>
      </c>
      <c r="F6" s="18">
        <v>9.1</v>
      </c>
      <c r="G6" s="19">
        <v>10.6</v>
      </c>
      <c r="H6" s="21" t="s">
        <v>284</v>
      </c>
      <c r="K6" t="s">
        <v>583</v>
      </c>
      <c r="L6">
        <v>7.5</v>
      </c>
      <c r="M6">
        <v>7.8</v>
      </c>
      <c r="N6">
        <v>9</v>
      </c>
    </row>
    <row r="7" spans="1:14" x14ac:dyDescent="0.2">
      <c r="A7" s="317">
        <v>1</v>
      </c>
      <c r="B7" s="317">
        <f>IF(C7=activestate,IF(D7='Heating Load'!C$2,1,0),0)</f>
        <v>0</v>
      </c>
      <c r="C7" s="12" t="s">
        <v>88</v>
      </c>
      <c r="D7" s="12" t="s">
        <v>286</v>
      </c>
      <c r="E7" s="22">
        <f t="shared" ref="E7:E23" si="0">+E$6-(E$6*((0.1392+(-0.00846*$H7)+(-0.0001074*$H7^2)+(0.0228*E$6))))</f>
        <v>5.15944</v>
      </c>
      <c r="F7" s="22">
        <f t="shared" ref="F7:G22" si="1">+F$6-(F$6*((0.1392+(-0.00846*$H7)+(-0.0001074*$H7^2)+(0.0228*F$6))))</f>
        <v>5.2730859999999993</v>
      </c>
      <c r="G7" s="22">
        <f t="shared" si="1"/>
        <v>5.7797559999999999</v>
      </c>
      <c r="H7" s="373">
        <v>-10</v>
      </c>
      <c r="K7" t="s">
        <v>576</v>
      </c>
      <c r="L7">
        <f>L6/0.85</f>
        <v>8.8235294117647065</v>
      </c>
      <c r="M7">
        <f t="shared" ref="M7:N7" si="2">M6/0.85</f>
        <v>9.1764705882352935</v>
      </c>
      <c r="N7">
        <f t="shared" si="2"/>
        <v>10.588235294117647</v>
      </c>
    </row>
    <row r="8" spans="1:14" ht="15" x14ac:dyDescent="0.25">
      <c r="A8" s="317">
        <v>2</v>
      </c>
      <c r="B8" s="317">
        <f>IF(C8=activestate,IF(D8='Heating Load'!C$2,1,0),0)</f>
        <v>0</v>
      </c>
      <c r="C8" s="12" t="s">
        <v>88</v>
      </c>
      <c r="D8" s="12" t="s">
        <v>289</v>
      </c>
      <c r="E8" s="22">
        <f t="shared" si="0"/>
        <v>7.3481636800000008</v>
      </c>
      <c r="F8" s="22">
        <f t="shared" si="1"/>
        <v>7.5364252599999997</v>
      </c>
      <c r="G8" s="22">
        <f t="shared" si="1"/>
        <v>8.4161731599999996</v>
      </c>
      <c r="H8" s="14">
        <v>17</v>
      </c>
    </row>
    <row r="9" spans="1:14" ht="15" x14ac:dyDescent="0.25">
      <c r="A9" s="317">
        <v>3</v>
      </c>
      <c r="B9" s="317">
        <f>IF(C9=activestate,IF(D9='Heating Load'!C$2,1,0),0)</f>
        <v>0</v>
      </c>
      <c r="C9" s="12" t="s">
        <v>88</v>
      </c>
      <c r="D9" s="12" t="s">
        <v>292</v>
      </c>
      <c r="E9" s="22">
        <f t="shared" si="0"/>
        <v>4.5670451200000004</v>
      </c>
      <c r="F9" s="22">
        <f t="shared" si="1"/>
        <v>4.6604958399999994</v>
      </c>
      <c r="G9" s="22">
        <f t="shared" si="1"/>
        <v>5.0661894399999996</v>
      </c>
      <c r="H9" s="14">
        <v>-24</v>
      </c>
    </row>
    <row r="10" spans="1:14" ht="15" x14ac:dyDescent="0.25">
      <c r="A10" s="317">
        <v>4</v>
      </c>
      <c r="B10" s="317">
        <f>IF(C10=activestate,IF(D10='Heating Load'!C$2,1,0),0)</f>
        <v>0</v>
      </c>
      <c r="C10" s="12" t="s">
        <v>88</v>
      </c>
      <c r="D10" s="12" t="s">
        <v>293</v>
      </c>
      <c r="E10" s="22">
        <f t="shared" si="0"/>
        <v>4.3434635200000002</v>
      </c>
      <c r="F10" s="22">
        <f t="shared" si="1"/>
        <v>4.4292921399999994</v>
      </c>
      <c r="G10" s="22">
        <f t="shared" si="1"/>
        <v>4.7968752399999994</v>
      </c>
      <c r="H10" s="14">
        <v>-39</v>
      </c>
    </row>
    <row r="11" spans="1:14" ht="15" x14ac:dyDescent="0.25">
      <c r="A11" s="317">
        <v>5</v>
      </c>
      <c r="B11" s="317">
        <f>IF(C11=activestate,IF(D11='Heating Load'!C$2,1,0),0)</f>
        <v>0</v>
      </c>
      <c r="C11" s="12" t="s">
        <v>88</v>
      </c>
      <c r="D11" s="12" t="s">
        <v>294</v>
      </c>
      <c r="E11" s="22">
        <f t="shared" si="0"/>
        <v>6.6484000000000005</v>
      </c>
      <c r="F11" s="22">
        <f t="shared" si="1"/>
        <v>6.8128060000000001</v>
      </c>
      <c r="G11" s="22">
        <f t="shared" si="1"/>
        <v>7.5732759999999999</v>
      </c>
      <c r="H11" s="14">
        <v>10</v>
      </c>
    </row>
    <row r="12" spans="1:14" x14ac:dyDescent="0.2">
      <c r="A12" s="317">
        <v>6</v>
      </c>
      <c r="B12" s="317">
        <f>IF(C12=activestate,IF(D12='Heating Load'!C$2,1,0),0)</f>
        <v>0</v>
      </c>
      <c r="C12" s="12" t="s">
        <v>88</v>
      </c>
      <c r="D12" s="12" t="s">
        <v>295</v>
      </c>
      <c r="E12" s="22">
        <f t="shared" si="0"/>
        <v>4.3541555199999999</v>
      </c>
      <c r="F12" s="22">
        <f t="shared" si="1"/>
        <v>4.4403486399999998</v>
      </c>
      <c r="G12" s="22">
        <f t="shared" si="1"/>
        <v>4.8097542400000002</v>
      </c>
      <c r="H12" s="373">
        <v>-36</v>
      </c>
    </row>
    <row r="13" spans="1:14" ht="15" x14ac:dyDescent="0.25">
      <c r="A13" s="317">
        <v>7</v>
      </c>
      <c r="B13" s="317">
        <f>IF(C13=activestate,IF(D13='Heating Load'!C$2,1,0),0)</f>
        <v>0</v>
      </c>
      <c r="C13" s="12" t="s">
        <v>88</v>
      </c>
      <c r="D13" s="12" t="s">
        <v>296</v>
      </c>
      <c r="E13" s="22">
        <f t="shared" si="0"/>
        <v>4.3434635200000002</v>
      </c>
      <c r="F13" s="22">
        <f t="shared" si="1"/>
        <v>4.4292921399999994</v>
      </c>
      <c r="G13" s="22">
        <f t="shared" si="1"/>
        <v>4.7968752399999994</v>
      </c>
      <c r="H13" s="14">
        <v>-39</v>
      </c>
    </row>
    <row r="14" spans="1:14" ht="15" x14ac:dyDescent="0.25">
      <c r="A14" s="317">
        <v>8</v>
      </c>
      <c r="B14" s="317">
        <f>IF(C14=activestate,IF(D14='Heating Load'!C$2,1,0),0)</f>
        <v>0</v>
      </c>
      <c r="C14" s="12" t="s">
        <v>88</v>
      </c>
      <c r="D14" s="12" t="s">
        <v>297</v>
      </c>
      <c r="E14" s="22">
        <f t="shared" si="0"/>
        <v>4.7360843200000007</v>
      </c>
      <c r="F14" s="22">
        <f t="shared" si="1"/>
        <v>4.8352977399999997</v>
      </c>
      <c r="G14" s="22">
        <f t="shared" si="1"/>
        <v>5.2698048399999999</v>
      </c>
      <c r="H14" s="14">
        <v>-19</v>
      </c>
    </row>
    <row r="15" spans="1:14" ht="15" x14ac:dyDescent="0.25">
      <c r="A15" s="317">
        <v>9</v>
      </c>
      <c r="B15" s="317">
        <f>IF(C15=activestate,IF(D15='Heating Load'!C$2,1,0),0)</f>
        <v>0</v>
      </c>
      <c r="C15" s="12" t="s">
        <v>88</v>
      </c>
      <c r="D15" s="12" t="s">
        <v>298</v>
      </c>
      <c r="E15" s="22">
        <f t="shared" si="0"/>
        <v>6.8388812800000007</v>
      </c>
      <c r="F15" s="22">
        <f t="shared" si="1"/>
        <v>7.0097809599999996</v>
      </c>
      <c r="G15" s="22">
        <f t="shared" si="1"/>
        <v>7.8027193600000002</v>
      </c>
      <c r="H15" s="14">
        <v>12</v>
      </c>
    </row>
    <row r="16" spans="1:14" ht="15" x14ac:dyDescent="0.25">
      <c r="A16" s="317">
        <v>10</v>
      </c>
      <c r="B16" s="317">
        <f>IF(C16=activestate,IF(D16='Heating Load'!C$2,1,0),0)</f>
        <v>0</v>
      </c>
      <c r="C16" s="12" t="s">
        <v>88</v>
      </c>
      <c r="D16" s="12" t="s">
        <v>299</v>
      </c>
      <c r="E16" s="22">
        <f t="shared" si="0"/>
        <v>4.3497836800000007</v>
      </c>
      <c r="F16" s="22">
        <f t="shared" si="1"/>
        <v>4.4358277600000005</v>
      </c>
      <c r="G16" s="22">
        <f t="shared" si="1"/>
        <v>4.80448816</v>
      </c>
      <c r="H16" s="14">
        <v>-42</v>
      </c>
    </row>
    <row r="17" spans="1:8" ht="15" x14ac:dyDescent="0.25">
      <c r="A17" s="317">
        <v>11</v>
      </c>
      <c r="B17" s="317">
        <f>IF(C17=activestate,IF(D17='Heating Load'!C$2,1,0),0)</f>
        <v>0</v>
      </c>
      <c r="C17" s="12" t="s">
        <v>88</v>
      </c>
      <c r="D17" s="12" t="s">
        <v>300</v>
      </c>
      <c r="E17" s="22">
        <f t="shared" si="0"/>
        <v>4.5126611200000006</v>
      </c>
      <c r="F17" s="22">
        <f t="shared" si="1"/>
        <v>4.6042578399999998</v>
      </c>
      <c r="G17" s="22">
        <f t="shared" si="1"/>
        <v>5.0006814400000001</v>
      </c>
      <c r="H17" s="14">
        <v>-26</v>
      </c>
    </row>
    <row r="18" spans="1:8" x14ac:dyDescent="0.2">
      <c r="A18" s="317">
        <v>12</v>
      </c>
      <c r="B18" s="317">
        <f>IF(C18=activestate,IF(D18='Heating Load'!C$2,1,0),0)</f>
        <v>0</v>
      </c>
      <c r="C18" s="12" t="s">
        <v>88</v>
      </c>
      <c r="D18" s="12" t="s">
        <v>301</v>
      </c>
      <c r="E18" s="22">
        <f t="shared" si="0"/>
        <v>6.0412580800000004</v>
      </c>
      <c r="F18" s="22">
        <f t="shared" si="1"/>
        <v>6.1849660599999998</v>
      </c>
      <c r="G18" s="22">
        <f t="shared" si="1"/>
        <v>6.8419459600000003</v>
      </c>
      <c r="H18" s="373">
        <v>3</v>
      </c>
    </row>
    <row r="19" spans="1:8" ht="15" x14ac:dyDescent="0.25">
      <c r="A19" s="317">
        <v>13</v>
      </c>
      <c r="B19" s="317">
        <f>IF(C19=activestate,IF(D19='Heating Load'!C$2,1,0),0)</f>
        <v>0</v>
      </c>
      <c r="C19" s="12" t="s">
        <v>88</v>
      </c>
      <c r="D19" s="12" t="s">
        <v>302</v>
      </c>
      <c r="E19" s="22">
        <f t="shared" si="0"/>
        <v>4.66279792</v>
      </c>
      <c r="F19" s="22">
        <f t="shared" si="1"/>
        <v>4.7595129399999996</v>
      </c>
      <c r="G19" s="22">
        <f t="shared" si="1"/>
        <v>5.1815280399999999</v>
      </c>
      <c r="H19" s="14">
        <v>-21</v>
      </c>
    </row>
    <row r="20" spans="1:8" ht="15" x14ac:dyDescent="0.25">
      <c r="A20" s="317">
        <v>14</v>
      </c>
      <c r="B20" s="317">
        <f>IF(C20=activestate,IF(D20='Heating Load'!C$2,1,0),0)</f>
        <v>0</v>
      </c>
      <c r="C20" s="12" t="s">
        <v>88</v>
      </c>
      <c r="D20" s="12" t="s">
        <v>303</v>
      </c>
      <c r="E20" s="22">
        <f t="shared" si="0"/>
        <v>5.9620844800000006</v>
      </c>
      <c r="F20" s="22">
        <f t="shared" si="1"/>
        <v>6.1030933599999999</v>
      </c>
      <c r="G20" s="22">
        <f t="shared" si="1"/>
        <v>6.7465777600000001</v>
      </c>
      <c r="H20" s="14">
        <v>2</v>
      </c>
    </row>
    <row r="21" spans="1:8" x14ac:dyDescent="0.2">
      <c r="A21" s="317">
        <v>15</v>
      </c>
      <c r="B21" s="317">
        <f>IF(C21=activestate,IF(D21='Heating Load'!C$2,1,0),0)</f>
        <v>0</v>
      </c>
      <c r="C21" s="12" t="s">
        <v>91</v>
      </c>
      <c r="D21" s="12" t="s">
        <v>304</v>
      </c>
      <c r="E21" s="22">
        <f t="shared" si="0"/>
        <v>8.0216804800000006</v>
      </c>
      <c r="F21" s="22">
        <f t="shared" si="1"/>
        <v>8.2329028599999994</v>
      </c>
      <c r="G21" s="22">
        <f t="shared" si="1"/>
        <v>9.2274547600000005</v>
      </c>
      <c r="H21" s="373">
        <v>23</v>
      </c>
    </row>
    <row r="22" spans="1:8" ht="15" x14ac:dyDescent="0.25">
      <c r="A22" s="317">
        <v>16</v>
      </c>
      <c r="B22" s="317">
        <f>IF(C22=activestate,IF(D22='Heating Load'!C$2,1,0),0)</f>
        <v>0</v>
      </c>
      <c r="C22" s="12" t="s">
        <v>91</v>
      </c>
      <c r="D22" s="12" t="s">
        <v>307</v>
      </c>
      <c r="E22" s="22">
        <f t="shared" si="0"/>
        <v>7.6764160000000006</v>
      </c>
      <c r="F22" s="22">
        <f t="shared" si="1"/>
        <v>7.8758679999999996</v>
      </c>
      <c r="G22" s="22">
        <f t="shared" si="1"/>
        <v>8.8115679999999994</v>
      </c>
      <c r="H22" s="14">
        <v>20</v>
      </c>
    </row>
    <row r="23" spans="1:8" ht="15" x14ac:dyDescent="0.25">
      <c r="A23" s="317">
        <v>17</v>
      </c>
      <c r="B23" s="317">
        <f>IF(C23=activestate,IF(D23='Heating Load'!C$2,1,0),0)</f>
        <v>0</v>
      </c>
      <c r="C23" s="12" t="s">
        <v>91</v>
      </c>
      <c r="D23" s="12" t="s">
        <v>310</v>
      </c>
      <c r="E23" s="22">
        <f t="shared" si="0"/>
        <v>8.8934560000000005</v>
      </c>
      <c r="F23" s="22">
        <f>+F$6-(F$6*((0.1392+(-0.00846*$H23)+(-0.0001074*$H23^2)+(0.0228*F$6))))</f>
        <v>9.1343979999999991</v>
      </c>
      <c r="G23" s="22">
        <f>+G$6-(G$6*((0.1392+(-0.00846*$H23)+(-0.0001074*$H23^2)+(0.0228*G$6))))</f>
        <v>10.277547999999999</v>
      </c>
      <c r="H23" s="14">
        <v>30</v>
      </c>
    </row>
    <row r="24" spans="1:8" ht="15" x14ac:dyDescent="0.25">
      <c r="A24" s="317">
        <v>18</v>
      </c>
      <c r="B24" s="317">
        <f>IF(C24=activestate,IF(D24='Heating Load'!C$2,1,0),0)</f>
        <v>0</v>
      </c>
      <c r="C24" s="12" t="s">
        <v>91</v>
      </c>
      <c r="D24" s="12" t="s">
        <v>311</v>
      </c>
      <c r="E24" s="22">
        <f t="shared" ref="E24:G87" si="3">+E$6-(E$6*((0.1392+(-0.00846*$H24)+(-0.0001074*$H24^2)+(0.0228*E$6))))</f>
        <v>8.5084964800000016</v>
      </c>
      <c r="F24" s="22">
        <f t="shared" si="3"/>
        <v>8.7363148600000002</v>
      </c>
      <c r="G24" s="22">
        <f t="shared" si="3"/>
        <v>9.8138467600000006</v>
      </c>
      <c r="H24" s="14">
        <v>27</v>
      </c>
    </row>
    <row r="25" spans="1:8" ht="15" x14ac:dyDescent="0.25">
      <c r="A25" s="317">
        <v>19</v>
      </c>
      <c r="B25" s="317">
        <f>IF(C25=activestate,IF(D25='Heating Load'!C$2,1,0),0)</f>
        <v>0</v>
      </c>
      <c r="C25" s="12" t="s">
        <v>94</v>
      </c>
      <c r="D25" s="12" t="s">
        <v>312</v>
      </c>
      <c r="E25" s="22">
        <f t="shared" si="3"/>
        <v>7.5651083200000011</v>
      </c>
      <c r="F25" s="22">
        <f t="shared" si="3"/>
        <v>7.7607657400000001</v>
      </c>
      <c r="G25" s="22">
        <f t="shared" si="3"/>
        <v>8.6774928399999993</v>
      </c>
      <c r="H25" s="14">
        <v>19</v>
      </c>
    </row>
    <row r="26" spans="1:8" ht="15" x14ac:dyDescent="0.25">
      <c r="A26" s="317">
        <v>20</v>
      </c>
      <c r="B26" s="317">
        <f>IF(C26=activestate,IF(D26='Heating Load'!C$2,1,0),0)</f>
        <v>0</v>
      </c>
      <c r="C26" s="12" t="s">
        <v>94</v>
      </c>
      <c r="D26" s="12" t="s">
        <v>315</v>
      </c>
      <c r="E26" s="22">
        <f t="shared" si="3"/>
        <v>7.7896139200000007</v>
      </c>
      <c r="F26" s="22">
        <f t="shared" si="3"/>
        <v>7.99292494</v>
      </c>
      <c r="G26" s="22">
        <f t="shared" si="3"/>
        <v>8.9479200399999996</v>
      </c>
      <c r="H26" s="14">
        <v>21</v>
      </c>
    </row>
    <row r="27" spans="1:8" ht="15" x14ac:dyDescent="0.25">
      <c r="A27" s="317">
        <v>21</v>
      </c>
      <c r="B27" s="317">
        <f>IF(C27=activestate,IF(D27='Heating Load'!C$2,1,0),0)</f>
        <v>0</v>
      </c>
      <c r="C27" s="12" t="s">
        <v>97</v>
      </c>
      <c r="D27" s="12" t="s">
        <v>316</v>
      </c>
      <c r="E27" s="22">
        <f t="shared" si="3"/>
        <v>6.4654796799999996</v>
      </c>
      <c r="F27" s="22">
        <f t="shared" si="3"/>
        <v>6.6236497599999993</v>
      </c>
      <c r="G27" s="22">
        <f t="shared" si="3"/>
        <v>7.3529401599999993</v>
      </c>
      <c r="H27" s="14">
        <v>8</v>
      </c>
    </row>
    <row r="28" spans="1:8" ht="15" x14ac:dyDescent="0.25">
      <c r="A28" s="317">
        <v>22</v>
      </c>
      <c r="B28" s="317">
        <f>IF(C28=activestate,IF(D28='Heating Load'!C$2,1,0),0)</f>
        <v>0</v>
      </c>
      <c r="C28" s="12" t="s">
        <v>97</v>
      </c>
      <c r="D28" s="12" t="s">
        <v>319</v>
      </c>
      <c r="E28" s="22">
        <f t="shared" si="3"/>
        <v>9.9302830000000011</v>
      </c>
      <c r="F28" s="22">
        <f t="shared" si="3"/>
        <v>10.206571374999999</v>
      </c>
      <c r="G28" s="22">
        <f t="shared" si="3"/>
        <v>11.526453249999999</v>
      </c>
      <c r="H28" s="14">
        <v>37.5</v>
      </c>
    </row>
    <row r="29" spans="1:8" ht="15" x14ac:dyDescent="0.25">
      <c r="A29" s="317">
        <v>23</v>
      </c>
      <c r="B29" s="317">
        <f>IF(C29=activestate,IF(D29='Heating Load'!C$2,1,0),0)</f>
        <v>0</v>
      </c>
      <c r="C29" s="12" t="s">
        <v>97</v>
      </c>
      <c r="D29" s="12" t="s">
        <v>320</v>
      </c>
      <c r="E29" s="22">
        <f t="shared" si="3"/>
        <v>7.6764160000000006</v>
      </c>
      <c r="F29" s="22">
        <f t="shared" si="3"/>
        <v>7.8758679999999996</v>
      </c>
      <c r="G29" s="22">
        <f t="shared" si="3"/>
        <v>8.8115679999999994</v>
      </c>
      <c r="H29" s="14">
        <v>20</v>
      </c>
    </row>
    <row r="30" spans="1:8" ht="15" x14ac:dyDescent="0.25">
      <c r="A30" s="317">
        <v>24</v>
      </c>
      <c r="B30" s="317">
        <f>IF(C30=activestate,IF(D30='Heating Load'!C$2,1,0),0)</f>
        <v>0</v>
      </c>
      <c r="C30" s="12" t="s">
        <v>97</v>
      </c>
      <c r="D30" s="12" t="s">
        <v>321</v>
      </c>
      <c r="E30" s="22">
        <f t="shared" si="3"/>
        <v>9.43319872</v>
      </c>
      <c r="F30" s="22">
        <f t="shared" si="3"/>
        <v>9.6925410400000001</v>
      </c>
      <c r="G30" s="22">
        <f t="shared" si="3"/>
        <v>10.92769264</v>
      </c>
      <c r="H30" s="14">
        <v>34</v>
      </c>
    </row>
    <row r="31" spans="1:8" ht="15" x14ac:dyDescent="0.25">
      <c r="A31" s="317">
        <v>25</v>
      </c>
      <c r="B31" s="317">
        <f>IF(C31=activestate,IF(D31='Heating Load'!C$2,1,0),0)</f>
        <v>0</v>
      </c>
      <c r="C31" s="12" t="s">
        <v>100</v>
      </c>
      <c r="D31" s="12" t="s">
        <v>322</v>
      </c>
      <c r="E31" s="22">
        <f t="shared" si="3"/>
        <v>9.1595468800000006</v>
      </c>
      <c r="F31" s="22">
        <f t="shared" si="3"/>
        <v>9.4095601599999998</v>
      </c>
      <c r="G31" s="22">
        <f t="shared" si="3"/>
        <v>10.598066559999999</v>
      </c>
      <c r="H31" s="14">
        <v>32</v>
      </c>
    </row>
    <row r="32" spans="1:8" ht="15" x14ac:dyDescent="0.25">
      <c r="A32" s="317">
        <v>26</v>
      </c>
      <c r="B32" s="317">
        <f>IF(C32=activestate,IF(D32='Heating Load'!C$2,1,0),0)</f>
        <v>0</v>
      </c>
      <c r="C32" s="12" t="s">
        <v>100</v>
      </c>
      <c r="D32" s="12" t="s">
        <v>325</v>
      </c>
      <c r="E32" s="22">
        <f t="shared" si="3"/>
        <v>9.5728600000000004</v>
      </c>
      <c r="F32" s="22">
        <f t="shared" si="3"/>
        <v>9.8369634999999995</v>
      </c>
      <c r="G32" s="22">
        <f t="shared" si="3"/>
        <v>11.095921000000001</v>
      </c>
      <c r="H32" s="14">
        <v>35</v>
      </c>
    </row>
    <row r="33" spans="1:8" x14ac:dyDescent="0.2">
      <c r="A33" s="317">
        <v>27</v>
      </c>
      <c r="B33" s="317">
        <f>IF(C33=activestate,IF(D33='Heating Load'!C$2,1,0),0)</f>
        <v>0</v>
      </c>
      <c r="C33" s="12" t="s">
        <v>100</v>
      </c>
      <c r="D33" s="12" t="s">
        <v>326</v>
      </c>
      <c r="E33" s="22">
        <f t="shared" si="3"/>
        <v>9.1595468800000006</v>
      </c>
      <c r="F33" s="22">
        <f t="shared" si="3"/>
        <v>9.4095601599999998</v>
      </c>
      <c r="G33" s="22">
        <f t="shared" si="3"/>
        <v>10.598066559999999</v>
      </c>
      <c r="H33" s="373">
        <v>32</v>
      </c>
    </row>
    <row r="34" spans="1:8" ht="15" x14ac:dyDescent="0.25">
      <c r="A34" s="317">
        <v>28</v>
      </c>
      <c r="B34" s="317">
        <f>IF(C34=activestate,IF(D34='Heating Load'!C$2,1,0),0)</f>
        <v>0</v>
      </c>
      <c r="C34" s="12" t="s">
        <v>100</v>
      </c>
      <c r="D34" s="12" t="s">
        <v>327</v>
      </c>
      <c r="E34" s="22">
        <f t="shared" si="3"/>
        <v>9.1595468800000006</v>
      </c>
      <c r="F34" s="22">
        <f t="shared" si="3"/>
        <v>9.4095601599999998</v>
      </c>
      <c r="G34" s="22">
        <f t="shared" si="3"/>
        <v>10.598066559999999</v>
      </c>
      <c r="H34" s="14">
        <v>32</v>
      </c>
    </row>
    <row r="35" spans="1:8" ht="15" x14ac:dyDescent="0.25">
      <c r="A35" s="317">
        <v>29</v>
      </c>
      <c r="B35" s="317">
        <f>IF(C35=activestate,IF(D35='Heating Load'!C$2,1,0),0)</f>
        <v>0</v>
      </c>
      <c r="C35" s="12" t="s">
        <v>100</v>
      </c>
      <c r="D35" s="12" t="s">
        <v>328</v>
      </c>
      <c r="E35" s="22">
        <f t="shared" si="3"/>
        <v>10.758198880000002</v>
      </c>
      <c r="F35" s="22">
        <f t="shared" si="3"/>
        <v>11.06271166</v>
      </c>
      <c r="G35" s="22">
        <f t="shared" si="3"/>
        <v>12.523715559999999</v>
      </c>
      <c r="H35" s="14">
        <v>43</v>
      </c>
    </row>
    <row r="36" spans="1:8" ht="15" x14ac:dyDescent="0.25">
      <c r="A36" s="317">
        <v>30</v>
      </c>
      <c r="B36" s="317">
        <f>IF(C36=activestate,IF(D36='Heating Load'!C$2,1,0),0)</f>
        <v>0</v>
      </c>
      <c r="C36" s="12" t="s">
        <v>100</v>
      </c>
      <c r="D36" s="12" t="s">
        <v>329</v>
      </c>
      <c r="E36" s="22">
        <f t="shared" si="3"/>
        <v>11.073436000000001</v>
      </c>
      <c r="F36" s="22">
        <f t="shared" si="3"/>
        <v>11.388695500000001</v>
      </c>
      <c r="G36" s="22">
        <f t="shared" si="3"/>
        <v>12.903433</v>
      </c>
      <c r="H36" s="14">
        <v>45</v>
      </c>
    </row>
    <row r="37" spans="1:8" ht="15" x14ac:dyDescent="0.25">
      <c r="A37" s="317">
        <v>31</v>
      </c>
      <c r="B37" s="317">
        <f>IF(C37=activestate,IF(D37='Heating Load'!C$2,1,0),0)</f>
        <v>0</v>
      </c>
      <c r="C37" s="12" t="s">
        <v>100</v>
      </c>
      <c r="D37" s="12" t="s">
        <v>330</v>
      </c>
      <c r="E37" s="22">
        <f t="shared" si="3"/>
        <v>9.2954276800000013</v>
      </c>
      <c r="F37" s="22">
        <f t="shared" si="3"/>
        <v>9.5500732599999996</v>
      </c>
      <c r="G37" s="22">
        <f t="shared" si="3"/>
        <v>10.76174116</v>
      </c>
      <c r="H37" s="14">
        <v>33</v>
      </c>
    </row>
    <row r="38" spans="1:8" ht="15" x14ac:dyDescent="0.25">
      <c r="A38" s="317">
        <v>32</v>
      </c>
      <c r="B38" s="317">
        <f>IF(C38=activestate,IF(D38='Heating Load'!C$2,1,0),0)</f>
        <v>0</v>
      </c>
      <c r="C38" s="12" t="s">
        <v>100</v>
      </c>
      <c r="D38" s="12" t="s">
        <v>331</v>
      </c>
      <c r="E38" s="22">
        <f t="shared" si="3"/>
        <v>10.914872320000001</v>
      </c>
      <c r="F38" s="22">
        <f t="shared" si="3"/>
        <v>11.224726239999999</v>
      </c>
      <c r="G38" s="22">
        <f t="shared" si="3"/>
        <v>12.712435839999999</v>
      </c>
      <c r="H38" s="14">
        <v>44</v>
      </c>
    </row>
    <row r="39" spans="1:8" ht="15" x14ac:dyDescent="0.25">
      <c r="A39" s="317">
        <v>33</v>
      </c>
      <c r="B39" s="317">
        <f>IF(C39=activestate,IF(D39='Heating Load'!C$2,1,0),0)</f>
        <v>0</v>
      </c>
      <c r="C39" s="12" t="s">
        <v>100</v>
      </c>
      <c r="D39" s="12" t="s">
        <v>332</v>
      </c>
      <c r="E39" s="22">
        <f t="shared" si="3"/>
        <v>10.150407520000002</v>
      </c>
      <c r="F39" s="22">
        <f t="shared" si="3"/>
        <v>10.43420014</v>
      </c>
      <c r="G39" s="22">
        <f t="shared" si="3"/>
        <v>11.791603239999999</v>
      </c>
      <c r="H39" s="14">
        <v>39</v>
      </c>
    </row>
    <row r="40" spans="1:8" ht="15" x14ac:dyDescent="0.25">
      <c r="A40" s="317">
        <v>34</v>
      </c>
      <c r="B40" s="317">
        <f>IF(C40=activestate,IF(D40='Heating Load'!C$2,1,0),0)</f>
        <v>0</v>
      </c>
      <c r="C40" s="12" t="s">
        <v>100</v>
      </c>
      <c r="D40" s="12" t="s">
        <v>333</v>
      </c>
      <c r="E40" s="22">
        <f t="shared" si="3"/>
        <v>9.5728600000000004</v>
      </c>
      <c r="F40" s="22">
        <f t="shared" si="3"/>
        <v>9.8369634999999995</v>
      </c>
      <c r="G40" s="22">
        <f t="shared" si="3"/>
        <v>11.095921000000001</v>
      </c>
      <c r="H40" s="14">
        <v>35</v>
      </c>
    </row>
    <row r="41" spans="1:8" ht="15" x14ac:dyDescent="0.25">
      <c r="A41" s="317">
        <v>35</v>
      </c>
      <c r="B41" s="317">
        <f>IF(C41=activestate,IF(D41='Heating Load'!C$2,1,0),0)</f>
        <v>0</v>
      </c>
      <c r="C41" s="12" t="s">
        <v>102</v>
      </c>
      <c r="D41" s="12" t="s">
        <v>334</v>
      </c>
      <c r="E41" s="22">
        <f t="shared" si="3"/>
        <v>5.1048395200000005</v>
      </c>
      <c r="F41" s="22">
        <f t="shared" si="3"/>
        <v>5.2166241399999995</v>
      </c>
      <c r="G41" s="22">
        <f t="shared" si="3"/>
        <v>5.7139872399999998</v>
      </c>
      <c r="H41" s="14">
        <v>-11</v>
      </c>
    </row>
    <row r="42" spans="1:8" x14ac:dyDescent="0.2">
      <c r="A42" s="317">
        <v>36</v>
      </c>
      <c r="B42" s="317">
        <f>IF(C42=activestate,IF(D42='Heating Load'!C$2,1,0),0)</f>
        <v>0</v>
      </c>
      <c r="C42" s="12" t="s">
        <v>102</v>
      </c>
      <c r="D42" s="12" t="s">
        <v>337</v>
      </c>
      <c r="E42" s="22">
        <f t="shared" si="3"/>
        <v>6.122321920000001</v>
      </c>
      <c r="F42" s="22">
        <f t="shared" si="3"/>
        <v>6.2687934399999996</v>
      </c>
      <c r="G42" s="22">
        <f t="shared" si="3"/>
        <v>6.9395910399999998</v>
      </c>
      <c r="H42" s="373">
        <v>4</v>
      </c>
    </row>
    <row r="43" spans="1:8" ht="15" x14ac:dyDescent="0.25">
      <c r="A43" s="317">
        <v>37</v>
      </c>
      <c r="B43" s="317">
        <f>IF(C43=activestate,IF(D43='Heating Load'!C$2,1,0),0)</f>
        <v>0</v>
      </c>
      <c r="C43" s="12" t="s">
        <v>102</v>
      </c>
      <c r="D43" s="12" t="s">
        <v>338</v>
      </c>
      <c r="E43" s="22">
        <f t="shared" si="3"/>
        <v>5.334582880000001</v>
      </c>
      <c r="F43" s="22">
        <f t="shared" si="3"/>
        <v>5.4541996600000004</v>
      </c>
      <c r="G43" s="22">
        <f t="shared" si="3"/>
        <v>5.9907235600000002</v>
      </c>
      <c r="H43" s="14">
        <v>-7</v>
      </c>
    </row>
    <row r="44" spans="1:8" ht="15" x14ac:dyDescent="0.25">
      <c r="A44" s="317">
        <v>38</v>
      </c>
      <c r="B44" s="317">
        <f>IF(C44=activestate,IF(D44='Heating Load'!C$2,1,0),0)</f>
        <v>0</v>
      </c>
      <c r="C44" s="12" t="s">
        <v>102</v>
      </c>
      <c r="D44" s="12" t="s">
        <v>339</v>
      </c>
      <c r="E44" s="22">
        <f t="shared" si="3"/>
        <v>6.2052760000000013</v>
      </c>
      <c r="F44" s="22">
        <f t="shared" si="3"/>
        <v>6.3545754999999993</v>
      </c>
      <c r="G44" s="22">
        <f t="shared" si="3"/>
        <v>7.0395129999999995</v>
      </c>
      <c r="H44" s="14">
        <v>5</v>
      </c>
    </row>
    <row r="45" spans="1:8" ht="15" x14ac:dyDescent="0.25">
      <c r="A45" s="317">
        <v>39</v>
      </c>
      <c r="B45" s="317">
        <f>IF(C45=activestate,IF(D45='Heating Load'!C$2,1,0),0)</f>
        <v>0</v>
      </c>
      <c r="C45" s="12" t="s">
        <v>104</v>
      </c>
      <c r="D45" s="12" t="s">
        <v>340</v>
      </c>
      <c r="E45" s="22">
        <f t="shared" si="3"/>
        <v>6.8388812800000007</v>
      </c>
      <c r="F45" s="22">
        <f t="shared" si="3"/>
        <v>7.0097809599999996</v>
      </c>
      <c r="G45" s="22">
        <f t="shared" si="3"/>
        <v>7.8027193600000002</v>
      </c>
      <c r="H45" s="14">
        <v>12</v>
      </c>
    </row>
    <row r="46" spans="1:8" ht="15" x14ac:dyDescent="0.25">
      <c r="A46" s="317">
        <v>40</v>
      </c>
      <c r="B46" s="317">
        <f>IF(C46=activestate,IF(D46='Heating Load'!C$2,1,0),0)</f>
        <v>0</v>
      </c>
      <c r="C46" s="12" t="s">
        <v>104</v>
      </c>
      <c r="D46" s="12" t="s">
        <v>343</v>
      </c>
      <c r="E46" s="22">
        <f t="shared" si="3"/>
        <v>6.2901203199999998</v>
      </c>
      <c r="F46" s="22">
        <f t="shared" si="3"/>
        <v>6.4423122399999997</v>
      </c>
      <c r="G46" s="22">
        <f t="shared" si="3"/>
        <v>7.1417118400000001</v>
      </c>
      <c r="H46" s="14">
        <v>6</v>
      </c>
    </row>
    <row r="47" spans="1:8" x14ac:dyDescent="0.2">
      <c r="A47" s="317">
        <v>41</v>
      </c>
      <c r="B47" s="317">
        <f>IF(C47=activestate,IF(D47='Heating Load'!C$2,1,0),0)</f>
        <v>0</v>
      </c>
      <c r="C47" s="12" t="s">
        <v>107</v>
      </c>
      <c r="D47" s="12" t="s">
        <v>190</v>
      </c>
      <c r="E47" s="22">
        <f t="shared" si="3"/>
        <v>7.6764160000000006</v>
      </c>
      <c r="F47" s="22">
        <f t="shared" si="3"/>
        <v>7.8758679999999996</v>
      </c>
      <c r="G47" s="22">
        <f t="shared" si="3"/>
        <v>8.8115679999999994</v>
      </c>
      <c r="H47" s="373">
        <v>20</v>
      </c>
    </row>
    <row r="48" spans="1:8" ht="15" x14ac:dyDescent="0.25">
      <c r="A48" s="317">
        <v>42</v>
      </c>
      <c r="B48" s="317">
        <f>IF(C48=activestate,IF(D48='Heating Load'!C$2,1,0),0)</f>
        <v>0</v>
      </c>
      <c r="C48" s="12" t="s">
        <v>110</v>
      </c>
      <c r="D48" s="12" t="s">
        <v>346</v>
      </c>
      <c r="E48" s="22">
        <f t="shared" si="3"/>
        <v>7.0369235200000002</v>
      </c>
      <c r="F48" s="22">
        <f t="shared" si="3"/>
        <v>7.2145746400000004</v>
      </c>
      <c r="G48" s="22">
        <f t="shared" si="3"/>
        <v>8.0412702399999993</v>
      </c>
      <c r="H48" s="14">
        <v>14</v>
      </c>
    </row>
    <row r="49" spans="1:8" ht="15" x14ac:dyDescent="0.25">
      <c r="A49" s="317">
        <v>43</v>
      </c>
      <c r="B49" s="317">
        <f>IF(C49=activestate,IF(D49='Heating Load'!C$2,1,0),0)</f>
        <v>0</v>
      </c>
      <c r="C49" s="12" t="s">
        <v>112</v>
      </c>
      <c r="D49" s="12" t="s">
        <v>347</v>
      </c>
      <c r="E49" s="22">
        <f t="shared" si="3"/>
        <v>9.8578532800000005</v>
      </c>
      <c r="F49" s="22">
        <f t="shared" si="3"/>
        <v>10.131672459999999</v>
      </c>
      <c r="G49" s="22">
        <f t="shared" si="3"/>
        <v>11.439208359999999</v>
      </c>
      <c r="H49" s="14">
        <v>37</v>
      </c>
    </row>
    <row r="50" spans="1:8" x14ac:dyDescent="0.2">
      <c r="A50" s="317">
        <v>44</v>
      </c>
      <c r="B50" s="317">
        <f>IF(C50=activestate,IF(D50='Heating Load'!C$2,1,0),0)</f>
        <v>0</v>
      </c>
      <c r="C50" s="12" t="s">
        <v>112</v>
      </c>
      <c r="D50" s="12" t="s">
        <v>350</v>
      </c>
      <c r="E50" s="22">
        <f t="shared" si="3"/>
        <v>9.5728600000000004</v>
      </c>
      <c r="F50" s="22">
        <f t="shared" si="3"/>
        <v>9.8369634999999995</v>
      </c>
      <c r="G50" s="22">
        <f t="shared" si="3"/>
        <v>11.095921000000001</v>
      </c>
      <c r="H50" s="373">
        <v>35</v>
      </c>
    </row>
    <row r="51" spans="1:8" ht="15" x14ac:dyDescent="0.25">
      <c r="A51" s="317">
        <v>45</v>
      </c>
      <c r="B51" s="317">
        <f>IF(C51=activestate,IF(D51='Heating Load'!C$2,1,0),0)</f>
        <v>0</v>
      </c>
      <c r="C51" s="12" t="s">
        <v>112</v>
      </c>
      <c r="D51" s="12" t="s">
        <v>351</v>
      </c>
      <c r="E51" s="22">
        <f t="shared" si="3"/>
        <v>13.306775680000001</v>
      </c>
      <c r="F51" s="22">
        <f t="shared" si="3"/>
        <v>13.698171759999999</v>
      </c>
      <c r="G51" s="22">
        <f t="shared" si="3"/>
        <v>15.59359216</v>
      </c>
      <c r="H51" s="14">
        <v>58</v>
      </c>
    </row>
    <row r="52" spans="1:8" ht="15" x14ac:dyDescent="0.25">
      <c r="A52" s="317">
        <v>46</v>
      </c>
      <c r="B52" s="317">
        <f>IF(C52=activestate,IF(D52='Heating Load'!C$2,1,0),0)</f>
        <v>0</v>
      </c>
      <c r="C52" s="12" t="s">
        <v>112</v>
      </c>
      <c r="D52" s="12" t="s">
        <v>352</v>
      </c>
      <c r="E52" s="22">
        <f t="shared" si="3"/>
        <v>11.81036428</v>
      </c>
      <c r="F52" s="22">
        <f t="shared" si="3"/>
        <v>12.150746334999999</v>
      </c>
      <c r="G52" s="22">
        <f t="shared" si="3"/>
        <v>13.79109661</v>
      </c>
      <c r="H52" s="14">
        <v>49.5</v>
      </c>
    </row>
    <row r="53" spans="1:8" ht="15" x14ac:dyDescent="0.25">
      <c r="A53" s="317">
        <v>47</v>
      </c>
      <c r="B53" s="317">
        <f>IF(C53=activestate,IF(D53='Heating Load'!C$2,1,0),0)</f>
        <v>0</v>
      </c>
      <c r="C53" s="12" t="s">
        <v>112</v>
      </c>
      <c r="D53" s="12" t="s">
        <v>353</v>
      </c>
      <c r="E53" s="22">
        <f t="shared" si="3"/>
        <v>8.6349260800000014</v>
      </c>
      <c r="F53" s="22">
        <f t="shared" si="3"/>
        <v>8.8670545599999997</v>
      </c>
      <c r="G53" s="22">
        <f t="shared" si="3"/>
        <v>9.96613696</v>
      </c>
      <c r="H53" s="14">
        <v>28</v>
      </c>
    </row>
    <row r="54" spans="1:8" ht="15" x14ac:dyDescent="0.25">
      <c r="A54" s="317">
        <v>48</v>
      </c>
      <c r="B54" s="317">
        <f>IF(C54=activestate,IF(D54='Heating Load'!C$2,1,0),0)</f>
        <v>0</v>
      </c>
      <c r="C54" s="12" t="s">
        <v>112</v>
      </c>
      <c r="D54" s="12" t="s">
        <v>354</v>
      </c>
      <c r="E54" s="22">
        <f t="shared" si="3"/>
        <v>10.299520000000001</v>
      </c>
      <c r="F54" s="22">
        <f t="shared" si="3"/>
        <v>10.588395999999999</v>
      </c>
      <c r="G54" s="22">
        <f t="shared" si="3"/>
        <v>11.971216</v>
      </c>
      <c r="H54" s="14">
        <v>40</v>
      </c>
    </row>
    <row r="55" spans="1:8" x14ac:dyDescent="0.2">
      <c r="A55" s="317">
        <v>49</v>
      </c>
      <c r="B55" s="317">
        <f>IF(C55=activestate,IF(D55='Heating Load'!C$2,1,0),0)</f>
        <v>0</v>
      </c>
      <c r="C55" s="12" t="s">
        <v>112</v>
      </c>
      <c r="D55" s="12" t="s">
        <v>355</v>
      </c>
      <c r="E55" s="22">
        <f t="shared" si="3"/>
        <v>11.396234080000001</v>
      </c>
      <c r="F55" s="22">
        <f t="shared" si="3"/>
        <v>11.722498059999999</v>
      </c>
      <c r="G55" s="22">
        <f t="shared" si="3"/>
        <v>13.292257960000001</v>
      </c>
      <c r="H55" s="373">
        <v>47</v>
      </c>
    </row>
    <row r="56" spans="1:8" ht="15" x14ac:dyDescent="0.25">
      <c r="A56" s="317">
        <v>50</v>
      </c>
      <c r="B56" s="317">
        <f>IF(C56=activestate,IF(D56='Heating Load'!C$2,1,0),0)</f>
        <v>0</v>
      </c>
      <c r="C56" s="12" t="s">
        <v>114</v>
      </c>
      <c r="D56" s="12" t="s">
        <v>356</v>
      </c>
      <c r="E56" s="22">
        <f t="shared" si="3"/>
        <v>8.2613080000000014</v>
      </c>
      <c r="F56" s="22">
        <f t="shared" si="3"/>
        <v>8.4806995000000001</v>
      </c>
      <c r="G56" s="22">
        <f t="shared" si="3"/>
        <v>9.5160970000000002</v>
      </c>
      <c r="H56" s="14">
        <v>25</v>
      </c>
    </row>
    <row r="57" spans="1:8" x14ac:dyDescent="0.2">
      <c r="A57" s="317">
        <v>51</v>
      </c>
      <c r="B57" s="317">
        <f>IF(C57=activestate,IF(D57='Heating Load'!C$2,1,0),0)</f>
        <v>0</v>
      </c>
      <c r="C57" s="12" t="s">
        <v>114</v>
      </c>
      <c r="D57" s="12" t="s">
        <v>357</v>
      </c>
      <c r="E57" s="22">
        <f t="shared" si="3"/>
        <v>8.0216804800000006</v>
      </c>
      <c r="F57" s="22">
        <f t="shared" si="3"/>
        <v>8.2329028599999994</v>
      </c>
      <c r="G57" s="22">
        <f t="shared" si="3"/>
        <v>9.2274547600000005</v>
      </c>
      <c r="H57" s="373">
        <v>23</v>
      </c>
    </row>
    <row r="58" spans="1:8" ht="15" x14ac:dyDescent="0.25">
      <c r="A58" s="317">
        <v>52</v>
      </c>
      <c r="B58" s="317">
        <f>IF(C58=activestate,IF(D58='Heating Load'!C$2,1,0),0)</f>
        <v>0</v>
      </c>
      <c r="C58" s="12" t="s">
        <v>114</v>
      </c>
      <c r="D58" s="12" t="s">
        <v>358</v>
      </c>
      <c r="E58" s="22">
        <f t="shared" si="3"/>
        <v>8.2613080000000014</v>
      </c>
      <c r="F58" s="22">
        <f t="shared" si="3"/>
        <v>8.4806995000000001</v>
      </c>
      <c r="G58" s="22">
        <f t="shared" si="3"/>
        <v>9.5160970000000002</v>
      </c>
      <c r="H58" s="14">
        <v>25</v>
      </c>
    </row>
    <row r="59" spans="1:8" ht="15" x14ac:dyDescent="0.25">
      <c r="A59" s="317">
        <v>53</v>
      </c>
      <c r="B59" s="317">
        <f>IF(C59=activestate,IF(D59='Heating Load'!C$2,1,0),0)</f>
        <v>0</v>
      </c>
      <c r="C59" s="12" t="s">
        <v>114</v>
      </c>
      <c r="D59" s="12" t="s">
        <v>359</v>
      </c>
      <c r="E59" s="22">
        <f t="shared" si="3"/>
        <v>8.5084964800000016</v>
      </c>
      <c r="F59" s="22">
        <f t="shared" si="3"/>
        <v>8.7363148600000002</v>
      </c>
      <c r="G59" s="22">
        <f t="shared" si="3"/>
        <v>9.8138467600000006</v>
      </c>
      <c r="H59" s="14">
        <v>27</v>
      </c>
    </row>
    <row r="60" spans="1:8" ht="15" x14ac:dyDescent="0.25">
      <c r="A60" s="317">
        <v>54</v>
      </c>
      <c r="B60" s="317">
        <f>IF(C60=activestate,IF(D60='Heating Load'!C$2,1,0),0)</f>
        <v>0</v>
      </c>
      <c r="C60" s="12" t="s">
        <v>114</v>
      </c>
      <c r="D60" s="12" t="s">
        <v>360</v>
      </c>
      <c r="E60" s="22">
        <f t="shared" si="3"/>
        <v>8.5084964800000016</v>
      </c>
      <c r="F60" s="22">
        <f t="shared" si="3"/>
        <v>8.7363148600000002</v>
      </c>
      <c r="G60" s="22">
        <f t="shared" si="3"/>
        <v>9.8138467600000006</v>
      </c>
      <c r="H60" s="14">
        <v>27</v>
      </c>
    </row>
    <row r="61" spans="1:8" ht="15" x14ac:dyDescent="0.25">
      <c r="A61" s="317">
        <v>55</v>
      </c>
      <c r="B61" s="317">
        <f>IF(C61=activestate,IF(D61='Heating Load'!C$2,1,0),0)</f>
        <v>0</v>
      </c>
      <c r="C61" s="12" t="s">
        <v>114</v>
      </c>
      <c r="D61" s="12" t="s">
        <v>361</v>
      </c>
      <c r="E61" s="22">
        <f t="shared" si="3"/>
        <v>8.763245920000001</v>
      </c>
      <c r="F61" s="22">
        <f t="shared" si="3"/>
        <v>8.9997489399999999</v>
      </c>
      <c r="G61" s="22">
        <f t="shared" si="3"/>
        <v>10.12070404</v>
      </c>
      <c r="H61" s="14">
        <v>29</v>
      </c>
    </row>
    <row r="62" spans="1:8" ht="15" x14ac:dyDescent="0.25">
      <c r="A62" s="317">
        <v>56</v>
      </c>
      <c r="B62" s="317">
        <f>IF(C62=activestate,IF(D62='Heating Load'!C$2,1,0),0)</f>
        <v>0</v>
      </c>
      <c r="C62" s="12" t="s">
        <v>116</v>
      </c>
      <c r="D62" s="12" t="s">
        <v>362</v>
      </c>
      <c r="E62" s="22">
        <f t="shared" si="3"/>
        <v>14.250813280000003</v>
      </c>
      <c r="F62" s="22">
        <f t="shared" si="3"/>
        <v>14.67439246</v>
      </c>
      <c r="G62" s="22">
        <f t="shared" si="3"/>
        <v>16.730728360000001</v>
      </c>
      <c r="H62" s="14">
        <v>63</v>
      </c>
    </row>
    <row r="63" spans="1:8" ht="15" x14ac:dyDescent="0.25">
      <c r="A63" s="317">
        <v>57</v>
      </c>
      <c r="B63" s="317">
        <f>IF(C63=activestate,IF(D63='Heating Load'!C$2,1,0),0)</f>
        <v>0</v>
      </c>
      <c r="C63" s="12" t="s">
        <v>116</v>
      </c>
      <c r="D63" s="12" t="s">
        <v>365</v>
      </c>
      <c r="E63" s="22">
        <f t="shared" si="3"/>
        <v>14.250813280000003</v>
      </c>
      <c r="F63" s="22">
        <f t="shared" si="3"/>
        <v>14.67439246</v>
      </c>
      <c r="G63" s="22">
        <f t="shared" si="3"/>
        <v>16.730728360000001</v>
      </c>
      <c r="H63" s="14">
        <v>63</v>
      </c>
    </row>
    <row r="64" spans="1:8" ht="15" x14ac:dyDescent="0.25">
      <c r="A64" s="317">
        <v>58</v>
      </c>
      <c r="B64" s="317">
        <f>IF(C64=activestate,IF(D64='Heating Load'!C$2,1,0),0)</f>
        <v>0</v>
      </c>
      <c r="C64" s="12" t="s">
        <v>116</v>
      </c>
      <c r="D64" s="12" t="s">
        <v>368</v>
      </c>
      <c r="E64" s="22">
        <f t="shared" si="3"/>
        <v>13.867527520000001</v>
      </c>
      <c r="F64" s="22">
        <f t="shared" si="3"/>
        <v>14.27804014</v>
      </c>
      <c r="G64" s="22">
        <f t="shared" si="3"/>
        <v>16.269043240000002</v>
      </c>
      <c r="H64" s="14">
        <v>61</v>
      </c>
    </row>
    <row r="65" spans="1:8" ht="15" x14ac:dyDescent="0.25">
      <c r="A65" s="317">
        <v>59</v>
      </c>
      <c r="B65" s="317">
        <f>IF(C65=activestate,IF(D65='Heating Load'!C$2,1,0),0)</f>
        <v>0</v>
      </c>
      <c r="C65" s="12" t="s">
        <v>116</v>
      </c>
      <c r="D65" s="12" t="s">
        <v>369</v>
      </c>
      <c r="E65" s="22">
        <f t="shared" si="3"/>
        <v>14.05822528</v>
      </c>
      <c r="F65" s="22">
        <f t="shared" si="3"/>
        <v>14.475238959999999</v>
      </c>
      <c r="G65" s="22">
        <f t="shared" si="3"/>
        <v>16.498747359999999</v>
      </c>
      <c r="H65" s="14">
        <v>62</v>
      </c>
    </row>
    <row r="66" spans="1:8" ht="15" x14ac:dyDescent="0.25">
      <c r="A66" s="317">
        <v>60</v>
      </c>
      <c r="B66" s="317">
        <f>IF(C66=activestate,IF(D66='Heating Load'!C$2,1,0),0)</f>
        <v>0</v>
      </c>
      <c r="C66" s="12" t="s">
        <v>118</v>
      </c>
      <c r="D66" s="12" t="s">
        <v>370</v>
      </c>
      <c r="E66" s="22">
        <f t="shared" si="3"/>
        <v>5.5267379200000004</v>
      </c>
      <c r="F66" s="22">
        <f t="shared" si="3"/>
        <v>5.6529054399999996</v>
      </c>
      <c r="G66" s="22">
        <f t="shared" si="3"/>
        <v>6.22218304</v>
      </c>
      <c r="H66" s="14">
        <v>-4</v>
      </c>
    </row>
    <row r="67" spans="1:8" ht="15" x14ac:dyDescent="0.25">
      <c r="A67" s="317">
        <v>61</v>
      </c>
      <c r="B67" s="317">
        <f>IF(C67=activestate,IF(D67='Heating Load'!C$2,1,0),0)</f>
        <v>0</v>
      </c>
      <c r="C67" s="12" t="s">
        <v>118</v>
      </c>
      <c r="D67" s="12" t="s">
        <v>373</v>
      </c>
      <c r="E67" s="22">
        <f t="shared" si="3"/>
        <v>5.15944</v>
      </c>
      <c r="F67" s="22">
        <f t="shared" si="3"/>
        <v>5.2730859999999993</v>
      </c>
      <c r="G67" s="22">
        <f t="shared" si="3"/>
        <v>5.7797559999999999</v>
      </c>
      <c r="H67" s="14">
        <v>-10</v>
      </c>
    </row>
    <row r="68" spans="1:8" ht="15" x14ac:dyDescent="0.25">
      <c r="A68" s="317">
        <v>62</v>
      </c>
      <c r="B68" s="317">
        <f>IF(C68=activestate,IF(D68='Heating Load'!C$2,1,0),0)</f>
        <v>0</v>
      </c>
      <c r="C68" s="12" t="s">
        <v>118</v>
      </c>
      <c r="D68" s="12" t="s">
        <v>374</v>
      </c>
      <c r="E68" s="22">
        <f t="shared" si="3"/>
        <v>5.3967443199999998</v>
      </c>
      <c r="F68" s="22">
        <f t="shared" si="3"/>
        <v>5.5184802400000006</v>
      </c>
      <c r="G68" s="22">
        <f t="shared" si="3"/>
        <v>6.06559984</v>
      </c>
      <c r="H68" s="14">
        <v>-6</v>
      </c>
    </row>
    <row r="69" spans="1:8" ht="15" x14ac:dyDescent="0.25">
      <c r="A69" s="317">
        <v>63</v>
      </c>
      <c r="B69" s="317">
        <f>IF(C69=activestate,IF(D69='Heating Load'!C$2,1,0),0)</f>
        <v>0</v>
      </c>
      <c r="C69" s="12" t="s">
        <v>118</v>
      </c>
      <c r="D69" s="12" t="s">
        <v>375</v>
      </c>
      <c r="E69" s="22">
        <f t="shared" si="3"/>
        <v>5.2159307200000011</v>
      </c>
      <c r="F69" s="22">
        <f t="shared" si="3"/>
        <v>5.3315025400000007</v>
      </c>
      <c r="G69" s="22">
        <f t="shared" si="3"/>
        <v>5.8478016400000001</v>
      </c>
      <c r="H69" s="14">
        <v>-9</v>
      </c>
    </row>
    <row r="70" spans="1:8" ht="15" x14ac:dyDescent="0.25">
      <c r="A70" s="317">
        <v>64</v>
      </c>
      <c r="B70" s="317">
        <f>IF(C70=activestate,IF(D70='Heating Load'!C$2,1,0),0)</f>
        <v>0</v>
      </c>
      <c r="C70" s="12" t="s">
        <v>121</v>
      </c>
      <c r="D70" s="12" t="s">
        <v>376</v>
      </c>
      <c r="E70" s="22">
        <f t="shared" si="3"/>
        <v>6.5559947200000002</v>
      </c>
      <c r="F70" s="22">
        <f t="shared" si="3"/>
        <v>6.7172505400000002</v>
      </c>
      <c r="G70" s="22">
        <f t="shared" si="3"/>
        <v>7.4619696399999995</v>
      </c>
      <c r="H70" s="14">
        <v>9</v>
      </c>
    </row>
    <row r="71" spans="1:8" ht="15" x14ac:dyDescent="0.25">
      <c r="A71" s="317">
        <v>65</v>
      </c>
      <c r="B71" s="317">
        <f>IF(C71=activestate,IF(D71='Heating Load'!C$2,1,0),0)</f>
        <v>0</v>
      </c>
      <c r="C71" s="12" t="s">
        <v>121</v>
      </c>
      <c r="D71" s="12" t="s">
        <v>379</v>
      </c>
      <c r="E71" s="22">
        <f t="shared" si="3"/>
        <v>5.8094080000000003</v>
      </c>
      <c r="F71" s="22">
        <f t="shared" si="3"/>
        <v>5.9452119999999997</v>
      </c>
      <c r="G71" s="22">
        <f t="shared" si="3"/>
        <v>6.5626720000000001</v>
      </c>
      <c r="H71" s="14">
        <v>0</v>
      </c>
    </row>
    <row r="72" spans="1:8" ht="15" x14ac:dyDescent="0.25">
      <c r="A72" s="317">
        <v>66</v>
      </c>
      <c r="B72" s="317">
        <f>IF(C72=activestate,IF(D72='Heating Load'!C$2,1,0),0)</f>
        <v>0</v>
      </c>
      <c r="C72" s="12" t="s">
        <v>123</v>
      </c>
      <c r="D72" s="12" t="s">
        <v>380</v>
      </c>
      <c r="E72" s="22">
        <f t="shared" si="3"/>
        <v>5.8848011200000006</v>
      </c>
      <c r="F72" s="22">
        <f t="shared" si="3"/>
        <v>6.0231753399999999</v>
      </c>
      <c r="G72" s="22">
        <f t="shared" si="3"/>
        <v>6.65348644</v>
      </c>
      <c r="H72" s="14">
        <v>1</v>
      </c>
    </row>
    <row r="73" spans="1:8" ht="15" x14ac:dyDescent="0.25">
      <c r="A73" s="317">
        <v>67</v>
      </c>
      <c r="B73" s="317">
        <f>IF(C73=activestate,IF(D73='Heating Load'!C$2,1,0),0)</f>
        <v>0</v>
      </c>
      <c r="C73" s="12" t="s">
        <v>123</v>
      </c>
      <c r="D73" s="12" t="s">
        <v>383</v>
      </c>
      <c r="E73" s="22">
        <f t="shared" si="3"/>
        <v>5.5945700800000004</v>
      </c>
      <c r="F73" s="22">
        <f t="shared" si="3"/>
        <v>5.7230500600000003</v>
      </c>
      <c r="G73" s="22">
        <f t="shared" si="3"/>
        <v>6.3038899599999993</v>
      </c>
      <c r="H73" s="14">
        <v>-3</v>
      </c>
    </row>
    <row r="74" spans="1:8" ht="15" x14ac:dyDescent="0.25">
      <c r="A74" s="317">
        <v>68</v>
      </c>
      <c r="B74" s="317">
        <f>IF(C74=activestate,IF(D74='Heating Load'!C$2,1,0),0)</f>
        <v>0</v>
      </c>
      <c r="C74" s="12" t="s">
        <v>123</v>
      </c>
      <c r="D74" s="12" t="s">
        <v>384</v>
      </c>
      <c r="E74" s="22">
        <f t="shared" si="3"/>
        <v>5.7359051200000009</v>
      </c>
      <c r="F74" s="22">
        <f t="shared" si="3"/>
        <v>5.8692033400000003</v>
      </c>
      <c r="G74" s="22">
        <f t="shared" si="3"/>
        <v>6.4741344400000003</v>
      </c>
      <c r="H74" s="14">
        <v>-1</v>
      </c>
    </row>
    <row r="75" spans="1:8" ht="15" x14ac:dyDescent="0.25">
      <c r="A75" s="317">
        <v>69</v>
      </c>
      <c r="B75" s="317">
        <f>IF(C75=activestate,IF(D75='Heating Load'!C$2,1,0),0)</f>
        <v>0</v>
      </c>
      <c r="C75" s="12" t="s">
        <v>123</v>
      </c>
      <c r="D75" s="12" t="s">
        <v>387</v>
      </c>
      <c r="E75" s="22">
        <f t="shared" si="3"/>
        <v>5.5267379200000004</v>
      </c>
      <c r="F75" s="22">
        <f t="shared" si="3"/>
        <v>5.6529054399999996</v>
      </c>
      <c r="G75" s="22">
        <f t="shared" si="3"/>
        <v>6.22218304</v>
      </c>
      <c r="H75" s="14">
        <v>-4</v>
      </c>
    </row>
    <row r="76" spans="1:8" ht="15" x14ac:dyDescent="0.25">
      <c r="A76" s="317">
        <v>70</v>
      </c>
      <c r="B76" s="317">
        <f>IF(C76=activestate,IF(D76='Heating Load'!C$2,1,0),0)</f>
        <v>0</v>
      </c>
      <c r="C76" s="12" t="s">
        <v>123</v>
      </c>
      <c r="D76" s="12" t="s">
        <v>388</v>
      </c>
      <c r="E76" s="22">
        <f t="shared" si="3"/>
        <v>5.9620844800000006</v>
      </c>
      <c r="F76" s="22">
        <f t="shared" si="3"/>
        <v>6.1030933599999999</v>
      </c>
      <c r="G76" s="22">
        <f t="shared" si="3"/>
        <v>6.7465777600000001</v>
      </c>
      <c r="H76" s="14">
        <v>2</v>
      </c>
    </row>
    <row r="77" spans="1:8" ht="15" x14ac:dyDescent="0.25">
      <c r="A77" s="317">
        <v>71</v>
      </c>
      <c r="B77" s="317">
        <f>IF(C77=activestate,IF(D77='Heating Load'!C$2,1,0),0)</f>
        <v>0</v>
      </c>
      <c r="C77" s="12" t="s">
        <v>126</v>
      </c>
      <c r="D77" s="12" t="s">
        <v>389</v>
      </c>
      <c r="E77" s="22">
        <f t="shared" si="3"/>
        <v>6.5559947200000002</v>
      </c>
      <c r="F77" s="22">
        <f t="shared" si="3"/>
        <v>6.7172505400000002</v>
      </c>
      <c r="G77" s="22">
        <f t="shared" si="3"/>
        <v>7.4619696399999995</v>
      </c>
      <c r="H77" s="14">
        <v>9</v>
      </c>
    </row>
    <row r="78" spans="1:8" ht="15" x14ac:dyDescent="0.25">
      <c r="A78" s="317">
        <v>72</v>
      </c>
      <c r="B78" s="317">
        <f>IF(C78=activestate,IF(D78='Heating Load'!C$2,1,0),0)</f>
        <v>0</v>
      </c>
      <c r="C78" s="12" t="s">
        <v>126</v>
      </c>
      <c r="D78" s="12" t="s">
        <v>390</v>
      </c>
      <c r="E78" s="22">
        <f t="shared" si="3"/>
        <v>5.9620844800000006</v>
      </c>
      <c r="F78" s="22">
        <f t="shared" si="3"/>
        <v>6.1030933599999999</v>
      </c>
      <c r="G78" s="22">
        <f t="shared" si="3"/>
        <v>6.7465777600000001</v>
      </c>
      <c r="H78" s="14">
        <v>2</v>
      </c>
    </row>
    <row r="79" spans="1:8" ht="15" x14ac:dyDescent="0.25">
      <c r="A79" s="317">
        <v>73</v>
      </c>
      <c r="B79" s="317">
        <f>IF(C79=activestate,IF(D79='Heating Load'!C$2,1,0),0)</f>
        <v>0</v>
      </c>
      <c r="C79" s="12" t="s">
        <v>126</v>
      </c>
      <c r="D79" s="12" t="s">
        <v>391</v>
      </c>
      <c r="E79" s="22">
        <f t="shared" si="3"/>
        <v>6.0412580800000004</v>
      </c>
      <c r="F79" s="22">
        <f t="shared" si="3"/>
        <v>6.1849660599999998</v>
      </c>
      <c r="G79" s="22">
        <f t="shared" si="3"/>
        <v>6.8419459600000003</v>
      </c>
      <c r="H79" s="14">
        <v>3</v>
      </c>
    </row>
    <row r="80" spans="1:8" ht="15" x14ac:dyDescent="0.25">
      <c r="A80" s="317">
        <v>74</v>
      </c>
      <c r="B80" s="317">
        <f>IF(C80=activestate,IF(D80='Heating Load'!C$2,1,0),0)</f>
        <v>0</v>
      </c>
      <c r="C80" s="12" t="s">
        <v>128</v>
      </c>
      <c r="D80" s="12" t="s">
        <v>392</v>
      </c>
      <c r="E80" s="22">
        <f t="shared" si="3"/>
        <v>6.2901203199999998</v>
      </c>
      <c r="F80" s="22">
        <f t="shared" si="3"/>
        <v>6.4423122399999997</v>
      </c>
      <c r="G80" s="22">
        <f t="shared" si="3"/>
        <v>7.1417118400000001</v>
      </c>
      <c r="H80" s="14">
        <v>6</v>
      </c>
    </row>
    <row r="81" spans="1:8" ht="15" x14ac:dyDescent="0.25">
      <c r="A81" s="317">
        <v>75</v>
      </c>
      <c r="B81" s="317">
        <f>IF(C81=activestate,IF(D81='Heating Load'!C$2,1,0),0)</f>
        <v>0</v>
      </c>
      <c r="C81" s="12" t="s">
        <v>128</v>
      </c>
      <c r="D81" s="12" t="s">
        <v>395</v>
      </c>
      <c r="E81" s="22">
        <f t="shared" si="3"/>
        <v>5.9620844800000006</v>
      </c>
      <c r="F81" s="22">
        <f t="shared" si="3"/>
        <v>6.1030933599999999</v>
      </c>
      <c r="G81" s="22">
        <f t="shared" si="3"/>
        <v>6.7465777600000001</v>
      </c>
      <c r="H81" s="14">
        <v>2</v>
      </c>
    </row>
    <row r="82" spans="1:8" ht="15" x14ac:dyDescent="0.25">
      <c r="A82" s="317">
        <v>76</v>
      </c>
      <c r="B82" s="317">
        <f>IF(C82=activestate,IF(D82='Heating Load'!C$2,1,0),0)</f>
        <v>0</v>
      </c>
      <c r="C82" s="12" t="s">
        <v>128</v>
      </c>
      <c r="D82" s="12" t="s">
        <v>396</v>
      </c>
      <c r="E82" s="22">
        <f t="shared" si="3"/>
        <v>6.122321920000001</v>
      </c>
      <c r="F82" s="22">
        <f t="shared" si="3"/>
        <v>6.2687934399999996</v>
      </c>
      <c r="G82" s="22">
        <f t="shared" si="3"/>
        <v>6.9395910399999998</v>
      </c>
      <c r="H82" s="14">
        <v>4</v>
      </c>
    </row>
    <row r="83" spans="1:8" ht="15" x14ac:dyDescent="0.25">
      <c r="A83" s="317">
        <v>77</v>
      </c>
      <c r="B83" s="317">
        <f>IF(C83=activestate,IF(D83='Heating Load'!C$2,1,0),0)</f>
        <v>0</v>
      </c>
      <c r="C83" s="12" t="s">
        <v>128</v>
      </c>
      <c r="D83" s="12" t="s">
        <v>397</v>
      </c>
      <c r="E83" s="22">
        <f t="shared" si="3"/>
        <v>6.5559947200000002</v>
      </c>
      <c r="F83" s="22">
        <f t="shared" si="3"/>
        <v>6.7172505400000002</v>
      </c>
      <c r="G83" s="22">
        <f t="shared" si="3"/>
        <v>7.4619696399999995</v>
      </c>
      <c r="H83" s="14">
        <v>9</v>
      </c>
    </row>
    <row r="84" spans="1:8" ht="15" x14ac:dyDescent="0.25">
      <c r="A84" s="317">
        <v>78</v>
      </c>
      <c r="B84" s="317">
        <f>IF(C84=activestate,IF(D84='Heating Load'!C$2,1,0),0)</f>
        <v>0</v>
      </c>
      <c r="C84" s="12" t="s">
        <v>130</v>
      </c>
      <c r="D84" s="12" t="s">
        <v>398</v>
      </c>
      <c r="E84" s="22">
        <f t="shared" si="3"/>
        <v>6.3768548800000007</v>
      </c>
      <c r="F84" s="22">
        <f t="shared" si="3"/>
        <v>6.53200366</v>
      </c>
      <c r="G84" s="22">
        <f t="shared" si="3"/>
        <v>7.2461875599999992</v>
      </c>
      <c r="H84" s="14">
        <v>7</v>
      </c>
    </row>
    <row r="85" spans="1:8" ht="15" x14ac:dyDescent="0.25">
      <c r="A85" s="317">
        <v>79</v>
      </c>
      <c r="B85" s="317">
        <f>IF(C85=activestate,IF(D85='Heating Load'!C$2,1,0),0)</f>
        <v>0</v>
      </c>
      <c r="C85" s="12" t="s">
        <v>130</v>
      </c>
      <c r="D85" s="12" t="s">
        <v>399</v>
      </c>
      <c r="E85" s="22">
        <f t="shared" si="3"/>
        <v>6.6484000000000005</v>
      </c>
      <c r="F85" s="22">
        <f t="shared" si="3"/>
        <v>6.8128060000000001</v>
      </c>
      <c r="G85" s="22">
        <f t="shared" si="3"/>
        <v>7.5732759999999999</v>
      </c>
      <c r="H85" s="14">
        <v>10</v>
      </c>
    </row>
    <row r="86" spans="1:8" ht="15" x14ac:dyDescent="0.25">
      <c r="A86" s="317">
        <v>80</v>
      </c>
      <c r="B86" s="317">
        <f>IF(C86=activestate,IF(D86='Heating Load'!C$2,1,0),0)</f>
        <v>0</v>
      </c>
      <c r="C86" s="12" t="s">
        <v>130</v>
      </c>
      <c r="D86" s="12" t="s">
        <v>400</v>
      </c>
      <c r="E86" s="22">
        <f t="shared" si="3"/>
        <v>6.8388812800000007</v>
      </c>
      <c r="F86" s="22">
        <f t="shared" si="3"/>
        <v>7.0097809599999996</v>
      </c>
      <c r="G86" s="22">
        <f t="shared" si="3"/>
        <v>7.8027193600000002</v>
      </c>
      <c r="H86" s="14">
        <v>12</v>
      </c>
    </row>
    <row r="87" spans="1:8" ht="15" x14ac:dyDescent="0.25">
      <c r="A87" s="317">
        <v>81</v>
      </c>
      <c r="B87" s="317">
        <f>IF(C87=activestate,IF(D87='Heating Load'!C$2,1,0),0)</f>
        <v>0</v>
      </c>
      <c r="C87" s="12" t="s">
        <v>132</v>
      </c>
      <c r="D87" s="12" t="s">
        <v>401</v>
      </c>
      <c r="E87" s="22">
        <f t="shared" si="3"/>
        <v>8.8934560000000005</v>
      </c>
      <c r="F87" s="22">
        <f t="shared" si="3"/>
        <v>9.1343979999999991</v>
      </c>
      <c r="G87" s="22">
        <f t="shared" si="3"/>
        <v>10.277547999999999</v>
      </c>
      <c r="H87" s="14">
        <v>30</v>
      </c>
    </row>
    <row r="88" spans="1:8" ht="15" x14ac:dyDescent="0.25">
      <c r="A88" s="317">
        <v>82</v>
      </c>
      <c r="B88" s="317">
        <f>IF(C88=activestate,IF(D88='Heating Load'!C$2,1,0),0)</f>
        <v>0</v>
      </c>
      <c r="C88" s="12" t="s">
        <v>132</v>
      </c>
      <c r="D88" s="12" t="s">
        <v>402</v>
      </c>
      <c r="E88" s="22">
        <f t="shared" ref="E88:G151" si="4">+E$6-(E$6*((0.1392+(-0.00846*$H88)+(-0.0001074*$H88^2)+(0.0228*E$6))))</f>
        <v>9.1595468800000006</v>
      </c>
      <c r="F88" s="22">
        <f t="shared" si="4"/>
        <v>9.4095601599999998</v>
      </c>
      <c r="G88" s="22">
        <f t="shared" si="4"/>
        <v>10.598066559999999</v>
      </c>
      <c r="H88" s="14">
        <v>32</v>
      </c>
    </row>
    <row r="89" spans="1:8" x14ac:dyDescent="0.2">
      <c r="A89" s="317">
        <v>83</v>
      </c>
      <c r="B89" s="317">
        <f>IF(C89=activestate,IF(D89='Heating Load'!C$2,1,0),0)</f>
        <v>0</v>
      </c>
      <c r="C89" s="12" t="s">
        <v>132</v>
      </c>
      <c r="D89" s="12" t="s">
        <v>403</v>
      </c>
      <c r="E89" s="22">
        <f t="shared" si="4"/>
        <v>9.7858961200000003</v>
      </c>
      <c r="F89" s="22">
        <f t="shared" si="4"/>
        <v>10.057262215</v>
      </c>
      <c r="G89" s="22">
        <f t="shared" si="4"/>
        <v>11.35253269</v>
      </c>
      <c r="H89" s="373">
        <v>36.5</v>
      </c>
    </row>
    <row r="90" spans="1:8" ht="15" x14ac:dyDescent="0.25">
      <c r="A90" s="317">
        <v>84</v>
      </c>
      <c r="B90" s="317">
        <f>IF(C90=activestate,IF(D90='Heating Load'!C$2,1,0),0)</f>
        <v>0</v>
      </c>
      <c r="C90" s="12" t="s">
        <v>132</v>
      </c>
      <c r="D90" s="12" t="s">
        <v>404</v>
      </c>
      <c r="E90" s="22">
        <f t="shared" si="4"/>
        <v>8.3839571199999998</v>
      </c>
      <c r="F90" s="22">
        <f t="shared" si="4"/>
        <v>8.6075298399999998</v>
      </c>
      <c r="G90" s="22">
        <f t="shared" si="4"/>
        <v>9.6638334399999994</v>
      </c>
      <c r="H90" s="14">
        <v>26</v>
      </c>
    </row>
    <row r="91" spans="1:8" ht="15" x14ac:dyDescent="0.25">
      <c r="A91" s="317">
        <v>85</v>
      </c>
      <c r="B91" s="317">
        <f>IF(C91=activestate,IF(D91='Heating Load'!C$2,1,0),0)</f>
        <v>0</v>
      </c>
      <c r="C91" s="12" t="s">
        <v>134</v>
      </c>
      <c r="D91" s="12" t="s">
        <v>407</v>
      </c>
      <c r="E91" s="22">
        <f t="shared" si="4"/>
        <v>6.8388812800000007</v>
      </c>
      <c r="F91" s="22">
        <f t="shared" si="4"/>
        <v>7.0097809599999996</v>
      </c>
      <c r="G91" s="22">
        <f t="shared" si="4"/>
        <v>7.8027193600000002</v>
      </c>
      <c r="H91" s="14">
        <v>12</v>
      </c>
    </row>
    <row r="92" spans="1:8" ht="15" x14ac:dyDescent="0.25">
      <c r="A92" s="317">
        <v>86</v>
      </c>
      <c r="B92" s="317">
        <f>IF(C92=activestate,IF(D92='Heating Load'!C$2,1,0),0)</f>
        <v>0</v>
      </c>
      <c r="C92" s="12" t="s">
        <v>134</v>
      </c>
      <c r="D92" s="12" t="s">
        <v>408</v>
      </c>
      <c r="E92" s="22">
        <f t="shared" si="4"/>
        <v>6.2052760000000013</v>
      </c>
      <c r="F92" s="22">
        <f t="shared" si="4"/>
        <v>6.3545754999999993</v>
      </c>
      <c r="G92" s="22">
        <f t="shared" si="4"/>
        <v>7.0395129999999995</v>
      </c>
      <c r="H92" s="14">
        <v>5</v>
      </c>
    </row>
    <row r="93" spans="1:8" ht="15" x14ac:dyDescent="0.25">
      <c r="A93" s="317">
        <v>87</v>
      </c>
      <c r="B93" s="317">
        <f>IF(C93=activestate,IF(D93='Heating Load'!C$2,1,0),0)</f>
        <v>0</v>
      </c>
      <c r="C93" s="12" t="s">
        <v>136</v>
      </c>
      <c r="D93" s="12" t="s">
        <v>409</v>
      </c>
      <c r="E93" s="22">
        <f t="shared" si="4"/>
        <v>7.1387800000000006</v>
      </c>
      <c r="F93" s="22">
        <f t="shared" si="4"/>
        <v>7.3199034999999997</v>
      </c>
      <c r="G93" s="22">
        <f t="shared" si="4"/>
        <v>8.1639610000000005</v>
      </c>
      <c r="H93" s="14">
        <v>15</v>
      </c>
    </row>
    <row r="94" spans="1:8" ht="15" x14ac:dyDescent="0.25">
      <c r="A94" s="317">
        <v>88</v>
      </c>
      <c r="B94" s="317">
        <f>IF(C94=activestate,IF(D94='Heating Load'!C$2,1,0),0)</f>
        <v>0</v>
      </c>
      <c r="C94" s="12" t="s">
        <v>138</v>
      </c>
      <c r="D94" s="12" t="s">
        <v>410</v>
      </c>
      <c r="E94" s="22">
        <f t="shared" si="4"/>
        <v>5.15944</v>
      </c>
      <c r="F94" s="22">
        <f t="shared" si="4"/>
        <v>5.2730859999999993</v>
      </c>
      <c r="G94" s="22">
        <f t="shared" si="4"/>
        <v>5.7797559999999999</v>
      </c>
      <c r="H94" s="14">
        <v>-10</v>
      </c>
    </row>
    <row r="95" spans="1:8" ht="15" x14ac:dyDescent="0.25">
      <c r="A95" s="317">
        <v>89</v>
      </c>
      <c r="B95" s="317">
        <f>IF(C95=activestate,IF(D95='Heating Load'!C$2,1,0),0)</f>
        <v>0</v>
      </c>
      <c r="C95" s="12" t="s">
        <v>138</v>
      </c>
      <c r="D95" s="12" t="s">
        <v>411</v>
      </c>
      <c r="E95" s="22">
        <f t="shared" si="4"/>
        <v>5.9620844800000006</v>
      </c>
      <c r="F95" s="22">
        <f t="shared" si="4"/>
        <v>6.1030933599999999</v>
      </c>
      <c r="G95" s="22">
        <f t="shared" si="4"/>
        <v>6.7465777600000001</v>
      </c>
      <c r="H95" s="14">
        <v>2</v>
      </c>
    </row>
    <row r="96" spans="1:8" ht="15" x14ac:dyDescent="0.25">
      <c r="A96" s="317">
        <v>90</v>
      </c>
      <c r="B96" s="317">
        <f>IF(C96=activestate,IF(D96='Heating Load'!C$2,1,0),0)</f>
        <v>0</v>
      </c>
      <c r="C96" s="12" t="s">
        <v>140</v>
      </c>
      <c r="D96" s="12" t="s">
        <v>412</v>
      </c>
      <c r="E96" s="22">
        <f t="shared" si="4"/>
        <v>5.7359051200000009</v>
      </c>
      <c r="F96" s="22">
        <f t="shared" si="4"/>
        <v>5.8692033400000003</v>
      </c>
      <c r="G96" s="22">
        <f t="shared" si="4"/>
        <v>6.4741344400000003</v>
      </c>
      <c r="H96" s="14">
        <v>-1</v>
      </c>
    </row>
    <row r="97" spans="1:8" ht="15" x14ac:dyDescent="0.25">
      <c r="A97" s="317">
        <v>91</v>
      </c>
      <c r="B97" s="317">
        <f>IF(C97=activestate,IF(D97='Heating Load'!C$2,1,0),0)</f>
        <v>0</v>
      </c>
      <c r="C97" s="12" t="s">
        <v>140</v>
      </c>
      <c r="D97" s="12" t="s">
        <v>415</v>
      </c>
      <c r="E97" s="22">
        <f t="shared" si="4"/>
        <v>6.2052760000000013</v>
      </c>
      <c r="F97" s="22">
        <f t="shared" si="4"/>
        <v>6.3545754999999993</v>
      </c>
      <c r="G97" s="22">
        <f t="shared" si="4"/>
        <v>7.0395129999999995</v>
      </c>
      <c r="H97" s="14">
        <v>5</v>
      </c>
    </row>
    <row r="98" spans="1:8" ht="15" x14ac:dyDescent="0.25">
      <c r="A98" s="317">
        <v>92</v>
      </c>
      <c r="B98" s="317">
        <f>IF(C98=activestate,IF(D98='Heating Load'!C$2,1,0),0)</f>
        <v>0</v>
      </c>
      <c r="C98" s="12" t="s">
        <v>140</v>
      </c>
      <c r="D98" s="12" t="s">
        <v>416</v>
      </c>
      <c r="E98" s="22">
        <f t="shared" si="4"/>
        <v>6.0412580800000004</v>
      </c>
      <c r="F98" s="22">
        <f t="shared" si="4"/>
        <v>6.1849660599999998</v>
      </c>
      <c r="G98" s="22">
        <f t="shared" si="4"/>
        <v>6.8419459600000003</v>
      </c>
      <c r="H98" s="14">
        <v>3</v>
      </c>
    </row>
    <row r="99" spans="1:8" ht="15" x14ac:dyDescent="0.25">
      <c r="A99" s="317">
        <v>93</v>
      </c>
      <c r="B99" s="317">
        <f>IF(C99=activestate,IF(D99='Heating Load'!C$2,1,0),0)</f>
        <v>0</v>
      </c>
      <c r="C99" s="12" t="s">
        <v>140</v>
      </c>
      <c r="D99" s="12" t="s">
        <v>417</v>
      </c>
      <c r="E99" s="22">
        <f t="shared" si="4"/>
        <v>6.2052760000000013</v>
      </c>
      <c r="F99" s="22">
        <f t="shared" si="4"/>
        <v>6.3545754999999993</v>
      </c>
      <c r="G99" s="22">
        <f t="shared" si="4"/>
        <v>7.0395129999999995</v>
      </c>
      <c r="H99" s="14">
        <v>5</v>
      </c>
    </row>
    <row r="100" spans="1:8" ht="15" x14ac:dyDescent="0.25">
      <c r="A100" s="317">
        <v>94</v>
      </c>
      <c r="B100" s="317">
        <f>IF(C100=activestate,IF(D100='Heating Load'!C$2,1,0),0)</f>
        <v>0</v>
      </c>
      <c r="C100" s="12" t="s">
        <v>140</v>
      </c>
      <c r="D100" s="12" t="s">
        <v>418</v>
      </c>
      <c r="E100" s="22">
        <f t="shared" si="4"/>
        <v>5.9620844800000006</v>
      </c>
      <c r="F100" s="22">
        <f t="shared" si="4"/>
        <v>6.1030933599999999</v>
      </c>
      <c r="G100" s="22">
        <f t="shared" si="4"/>
        <v>6.7465777600000001</v>
      </c>
      <c r="H100" s="14">
        <v>2</v>
      </c>
    </row>
    <row r="101" spans="1:8" ht="15" x14ac:dyDescent="0.25">
      <c r="A101" s="317">
        <v>95</v>
      </c>
      <c r="B101" s="317">
        <f>IF(C101=activestate,IF(D101='Heating Load'!C$2,1,0),0)</f>
        <v>0</v>
      </c>
      <c r="C101" s="12" t="s">
        <v>140</v>
      </c>
      <c r="D101" s="12" t="s">
        <v>419</v>
      </c>
      <c r="E101" s="22">
        <f t="shared" si="4"/>
        <v>6.3768548800000007</v>
      </c>
      <c r="F101" s="22">
        <f t="shared" si="4"/>
        <v>6.53200366</v>
      </c>
      <c r="G101" s="22">
        <f t="shared" si="4"/>
        <v>7.2461875599999992</v>
      </c>
      <c r="H101" s="14">
        <v>7</v>
      </c>
    </row>
    <row r="102" spans="1:8" ht="15" x14ac:dyDescent="0.25">
      <c r="A102" s="317">
        <v>96</v>
      </c>
      <c r="B102" s="317">
        <f>IF(C102=activestate,IF(D102='Heating Load'!C$2,1,0),0)</f>
        <v>0</v>
      </c>
      <c r="C102" s="12" t="s">
        <v>140</v>
      </c>
      <c r="D102" s="12" t="s">
        <v>420</v>
      </c>
      <c r="E102" s="22">
        <f t="shared" si="4"/>
        <v>5.334582880000001</v>
      </c>
      <c r="F102" s="22">
        <f t="shared" si="4"/>
        <v>5.4541996600000004</v>
      </c>
      <c r="G102" s="22">
        <f t="shared" si="4"/>
        <v>5.9907235600000002</v>
      </c>
      <c r="H102" s="14">
        <v>-7</v>
      </c>
    </row>
    <row r="103" spans="1:8" ht="15" x14ac:dyDescent="0.25">
      <c r="A103" s="317">
        <v>97</v>
      </c>
      <c r="B103" s="317">
        <f>IF(C103=activestate,IF(D103='Heating Load'!C$2,1,0),0)</f>
        <v>0</v>
      </c>
      <c r="C103" s="12" t="s">
        <v>140</v>
      </c>
      <c r="D103" s="12" t="s">
        <v>421</v>
      </c>
      <c r="E103" s="22">
        <f t="shared" si="4"/>
        <v>5.9620844800000006</v>
      </c>
      <c r="F103" s="22">
        <f t="shared" si="4"/>
        <v>6.1030933599999999</v>
      </c>
      <c r="G103" s="22">
        <f t="shared" si="4"/>
        <v>6.7465777600000001</v>
      </c>
      <c r="H103" s="14">
        <v>2</v>
      </c>
    </row>
    <row r="104" spans="1:8" ht="15" x14ac:dyDescent="0.25">
      <c r="A104" s="317">
        <v>98</v>
      </c>
      <c r="B104" s="317">
        <f>IF(C104=activestate,IF(D104='Heating Load'!C$2,1,0),0)</f>
        <v>0</v>
      </c>
      <c r="C104" s="12" t="s">
        <v>142</v>
      </c>
      <c r="D104" s="12" t="s">
        <v>422</v>
      </c>
      <c r="E104" s="22">
        <f t="shared" si="4"/>
        <v>4.8601907200000003</v>
      </c>
      <c r="F104" s="22">
        <f t="shared" si="4"/>
        <v>4.9636350399999998</v>
      </c>
      <c r="G104" s="22">
        <f t="shared" si="4"/>
        <v>5.4192966399999998</v>
      </c>
      <c r="H104" s="14">
        <v>-16</v>
      </c>
    </row>
    <row r="105" spans="1:8" ht="15" x14ac:dyDescent="0.25">
      <c r="A105" s="317">
        <v>99</v>
      </c>
      <c r="B105" s="317">
        <f>IF(C105=activestate,IF(D105='Heating Load'!C$2,1,0),0)</f>
        <v>0</v>
      </c>
      <c r="C105" s="12" t="s">
        <v>142</v>
      </c>
      <c r="D105" s="12" t="s">
        <v>423</v>
      </c>
      <c r="E105" s="22">
        <f t="shared" si="4"/>
        <v>4.5970724800000005</v>
      </c>
      <c r="F105" s="22">
        <f t="shared" si="4"/>
        <v>4.6915468599999999</v>
      </c>
      <c r="G105" s="22">
        <f t="shared" si="4"/>
        <v>5.1023587599999995</v>
      </c>
      <c r="H105" s="14">
        <v>-23</v>
      </c>
    </row>
    <row r="106" spans="1:8" ht="15" x14ac:dyDescent="0.25">
      <c r="A106" s="317">
        <v>100</v>
      </c>
      <c r="B106" s="317">
        <f>IF(C106=activestate,IF(D106='Heating Load'!C$2,1,0),0)</f>
        <v>0</v>
      </c>
      <c r="C106" s="12" t="s">
        <v>142</v>
      </c>
      <c r="D106" s="12" t="s">
        <v>424</v>
      </c>
      <c r="E106" s="22">
        <f t="shared" si="4"/>
        <v>5.1048395200000005</v>
      </c>
      <c r="F106" s="22">
        <f t="shared" si="4"/>
        <v>5.2166241399999995</v>
      </c>
      <c r="G106" s="22">
        <f t="shared" si="4"/>
        <v>5.7139872399999998</v>
      </c>
      <c r="H106" s="14">
        <v>-11</v>
      </c>
    </row>
    <row r="107" spans="1:8" ht="15" x14ac:dyDescent="0.25">
      <c r="A107" s="317">
        <v>101</v>
      </c>
      <c r="B107" s="317">
        <f>IF(C107=activestate,IF(D107='Heating Load'!C$2,1,0),0)</f>
        <v>0</v>
      </c>
      <c r="C107" s="12" t="s">
        <v>142</v>
      </c>
      <c r="D107" s="12" t="s">
        <v>425</v>
      </c>
      <c r="E107" s="22">
        <f t="shared" si="4"/>
        <v>5.0521292800000008</v>
      </c>
      <c r="F107" s="22">
        <f t="shared" si="4"/>
        <v>5.1621169600000005</v>
      </c>
      <c r="G107" s="22">
        <f t="shared" si="4"/>
        <v>5.6504953599999999</v>
      </c>
      <c r="H107" s="14">
        <v>-12</v>
      </c>
    </row>
    <row r="108" spans="1:8" ht="15" x14ac:dyDescent="0.25">
      <c r="A108" s="317">
        <v>102</v>
      </c>
      <c r="B108" s="317">
        <f>IF(C108=activestate,IF(D108='Heating Load'!C$2,1,0),0)</f>
        <v>0</v>
      </c>
      <c r="C108" s="12" t="s">
        <v>142</v>
      </c>
      <c r="D108" s="12" t="s">
        <v>426</v>
      </c>
      <c r="E108" s="22">
        <f t="shared" si="4"/>
        <v>4.9523795200000009</v>
      </c>
      <c r="F108" s="22">
        <f t="shared" si="4"/>
        <v>5.0589666400000004</v>
      </c>
      <c r="G108" s="22">
        <f t="shared" si="4"/>
        <v>5.5303422400000004</v>
      </c>
      <c r="H108" s="14">
        <v>-14</v>
      </c>
    </row>
    <row r="109" spans="1:8" ht="15" x14ac:dyDescent="0.25">
      <c r="A109" s="317">
        <v>103</v>
      </c>
      <c r="B109" s="317">
        <f>IF(C109=activestate,IF(D109='Heating Load'!C$2,1,0),0)</f>
        <v>0</v>
      </c>
      <c r="C109" s="12" t="s">
        <v>144</v>
      </c>
      <c r="D109" s="12" t="s">
        <v>427</v>
      </c>
      <c r="E109" s="22">
        <f t="shared" si="4"/>
        <v>6.2052760000000013</v>
      </c>
      <c r="F109" s="22">
        <f t="shared" si="4"/>
        <v>6.3545754999999993</v>
      </c>
      <c r="G109" s="22">
        <f t="shared" si="4"/>
        <v>7.0395129999999995</v>
      </c>
      <c r="H109" s="14">
        <v>5</v>
      </c>
    </row>
    <row r="110" spans="1:8" ht="15" x14ac:dyDescent="0.25">
      <c r="A110" s="317">
        <v>104</v>
      </c>
      <c r="B110" s="317">
        <f>IF(C110=activestate,IF(D110='Heating Load'!C$2,1,0),0)</f>
        <v>0</v>
      </c>
      <c r="C110" s="12" t="s">
        <v>144</v>
      </c>
      <c r="D110" s="12" t="s">
        <v>428</v>
      </c>
      <c r="E110" s="22">
        <f t="shared" si="4"/>
        <v>6.122321920000001</v>
      </c>
      <c r="F110" s="22">
        <f t="shared" si="4"/>
        <v>6.2687934399999996</v>
      </c>
      <c r="G110" s="22">
        <f t="shared" si="4"/>
        <v>6.9395910399999998</v>
      </c>
      <c r="H110" s="14">
        <v>4</v>
      </c>
    </row>
    <row r="111" spans="1:8" ht="15" x14ac:dyDescent="0.25">
      <c r="A111" s="317">
        <v>105</v>
      </c>
      <c r="B111" s="317">
        <f>IF(C111=activestate,IF(D111='Heating Load'!C$2,1,0),0)</f>
        <v>0</v>
      </c>
      <c r="C111" s="12" t="s">
        <v>144</v>
      </c>
      <c r="D111" s="12" t="s">
        <v>388</v>
      </c>
      <c r="E111" s="22">
        <f t="shared" si="4"/>
        <v>6.5559947200000002</v>
      </c>
      <c r="F111" s="22">
        <f t="shared" si="4"/>
        <v>6.7172505400000002</v>
      </c>
      <c r="G111" s="22">
        <f t="shared" si="4"/>
        <v>7.4619696399999995</v>
      </c>
      <c r="H111" s="14">
        <v>9</v>
      </c>
    </row>
    <row r="112" spans="1:8" ht="15" x14ac:dyDescent="0.25">
      <c r="A112" s="317">
        <v>106</v>
      </c>
      <c r="B112" s="317">
        <f>IF(C112=activestate,IF(D112='Heating Load'!C$2,1,0),0)</f>
        <v>0</v>
      </c>
      <c r="C112" s="12" t="s">
        <v>144</v>
      </c>
      <c r="D112" s="12" t="s">
        <v>429</v>
      </c>
      <c r="E112" s="22">
        <f t="shared" si="4"/>
        <v>6.4654796799999996</v>
      </c>
      <c r="F112" s="22">
        <f t="shared" si="4"/>
        <v>6.6236497599999993</v>
      </c>
      <c r="G112" s="22">
        <f t="shared" si="4"/>
        <v>7.3529401599999993</v>
      </c>
      <c r="H112" s="14">
        <v>8</v>
      </c>
    </row>
    <row r="113" spans="1:8" ht="15" x14ac:dyDescent="0.25">
      <c r="A113" s="317">
        <v>107</v>
      </c>
      <c r="B113" s="317">
        <f>IF(C113=activestate,IF(D113='Heating Load'!C$2,1,0),0)</f>
        <v>0</v>
      </c>
      <c r="C113" s="12" t="s">
        <v>146</v>
      </c>
      <c r="D113" s="12" t="s">
        <v>430</v>
      </c>
      <c r="E113" s="22">
        <f t="shared" si="4"/>
        <v>8.2613080000000014</v>
      </c>
      <c r="F113" s="22">
        <f t="shared" si="4"/>
        <v>8.4806995000000001</v>
      </c>
      <c r="G113" s="22">
        <f t="shared" si="4"/>
        <v>9.5160970000000002</v>
      </c>
      <c r="H113" s="14">
        <v>25</v>
      </c>
    </row>
    <row r="114" spans="1:8" ht="15" x14ac:dyDescent="0.25">
      <c r="A114" s="317">
        <v>108</v>
      </c>
      <c r="B114" s="317">
        <f>IF(C114=activestate,IF(D114='Heating Load'!C$2,1,0),0)</f>
        <v>0</v>
      </c>
      <c r="C114" s="12" t="s">
        <v>146</v>
      </c>
      <c r="D114" s="12" t="s">
        <v>431</v>
      </c>
      <c r="E114" s="22">
        <f t="shared" si="4"/>
        <v>8.2613080000000014</v>
      </c>
      <c r="F114" s="22">
        <f t="shared" si="4"/>
        <v>8.4806995000000001</v>
      </c>
      <c r="G114" s="22">
        <f t="shared" si="4"/>
        <v>9.5160970000000002</v>
      </c>
      <c r="H114" s="14">
        <v>25</v>
      </c>
    </row>
    <row r="115" spans="1:8" ht="15" x14ac:dyDescent="0.25">
      <c r="A115" s="317">
        <v>109</v>
      </c>
      <c r="B115" s="317">
        <f>IF(C115=activestate,IF(D115='Heating Load'!C$2,1,0),0)</f>
        <v>0</v>
      </c>
      <c r="C115" s="12" t="s">
        <v>148</v>
      </c>
      <c r="D115" s="12" t="s">
        <v>432</v>
      </c>
      <c r="E115" s="22">
        <f t="shared" si="4"/>
        <v>5.334582880000001</v>
      </c>
      <c r="F115" s="22">
        <f t="shared" si="4"/>
        <v>5.4541996600000004</v>
      </c>
      <c r="G115" s="22">
        <f t="shared" si="4"/>
        <v>5.9907235600000002</v>
      </c>
      <c r="H115" s="14">
        <v>-7</v>
      </c>
    </row>
    <row r="116" spans="1:8" ht="15" x14ac:dyDescent="0.25">
      <c r="A116" s="317">
        <v>110</v>
      </c>
      <c r="B116" s="317">
        <f>IF(C116=activestate,IF(D116='Heating Load'!C$2,1,0),0)</f>
        <v>0</v>
      </c>
      <c r="C116" s="12" t="s">
        <v>148</v>
      </c>
      <c r="D116" s="12" t="s">
        <v>433</v>
      </c>
      <c r="E116" s="22">
        <f t="shared" si="4"/>
        <v>4.8601907200000003</v>
      </c>
      <c r="F116" s="22">
        <f t="shared" si="4"/>
        <v>4.9636350399999998</v>
      </c>
      <c r="G116" s="22">
        <f t="shared" si="4"/>
        <v>5.4192966399999998</v>
      </c>
      <c r="H116" s="14">
        <v>-16</v>
      </c>
    </row>
    <row r="117" spans="1:8" ht="15" x14ac:dyDescent="0.25">
      <c r="A117" s="317">
        <v>111</v>
      </c>
      <c r="B117" s="317">
        <f>IF(C117=activestate,IF(D117='Heating Load'!C$2,1,0),0)</f>
        <v>0</v>
      </c>
      <c r="C117" s="12" t="s">
        <v>148</v>
      </c>
      <c r="D117" s="12" t="s">
        <v>434</v>
      </c>
      <c r="E117" s="22">
        <f t="shared" si="4"/>
        <v>4.8169316799999997</v>
      </c>
      <c r="F117" s="22">
        <f t="shared" si="4"/>
        <v>4.9189012599999993</v>
      </c>
      <c r="G117" s="22">
        <f t="shared" si="4"/>
        <v>5.3671891599999997</v>
      </c>
      <c r="H117" s="14">
        <v>-17</v>
      </c>
    </row>
    <row r="118" spans="1:8" ht="15" x14ac:dyDescent="0.25">
      <c r="A118" s="317">
        <v>112</v>
      </c>
      <c r="B118" s="317">
        <f>IF(C118=activestate,IF(D118='Heating Load'!C$2,1,0),0)</f>
        <v>0</v>
      </c>
      <c r="C118" s="12" t="s">
        <v>148</v>
      </c>
      <c r="D118" s="12" t="s">
        <v>435</v>
      </c>
      <c r="E118" s="22">
        <f t="shared" si="4"/>
        <v>5.0521292800000008</v>
      </c>
      <c r="F118" s="22">
        <f t="shared" si="4"/>
        <v>5.1621169600000005</v>
      </c>
      <c r="G118" s="22">
        <f t="shared" si="4"/>
        <v>5.6504953599999999</v>
      </c>
      <c r="H118" s="14">
        <v>-12</v>
      </c>
    </row>
    <row r="119" spans="1:8" ht="15" x14ac:dyDescent="0.25">
      <c r="A119" s="317">
        <v>113</v>
      </c>
      <c r="B119" s="317">
        <f>IF(C119=activestate,IF(D119='Heating Load'!C$2,1,0),0)</f>
        <v>0</v>
      </c>
      <c r="C119" s="12" t="s">
        <v>148</v>
      </c>
      <c r="D119" s="12" t="s">
        <v>436</v>
      </c>
      <c r="E119" s="22">
        <f t="shared" si="4"/>
        <v>5.15944</v>
      </c>
      <c r="F119" s="22">
        <f t="shared" si="4"/>
        <v>5.2730859999999993</v>
      </c>
      <c r="G119" s="22">
        <f t="shared" si="4"/>
        <v>5.7797559999999999</v>
      </c>
      <c r="H119" s="14">
        <v>-10</v>
      </c>
    </row>
    <row r="120" spans="1:8" ht="15" x14ac:dyDescent="0.25">
      <c r="A120" s="317">
        <v>114</v>
      </c>
      <c r="B120" s="317">
        <f>IF(C120=activestate,IF(D120='Heating Load'!C$2,1,0),0)</f>
        <v>0</v>
      </c>
      <c r="C120" s="12" t="s">
        <v>148</v>
      </c>
      <c r="D120" s="12" t="s">
        <v>437</v>
      </c>
      <c r="E120" s="22">
        <f t="shared" si="4"/>
        <v>5.5945700800000004</v>
      </c>
      <c r="F120" s="22">
        <f t="shared" si="4"/>
        <v>5.7230500600000003</v>
      </c>
      <c r="G120" s="22">
        <f t="shared" si="4"/>
        <v>6.3038899599999993</v>
      </c>
      <c r="H120" s="14">
        <v>-3</v>
      </c>
    </row>
    <row r="121" spans="1:8" ht="15" x14ac:dyDescent="0.25">
      <c r="A121" s="317">
        <v>115</v>
      </c>
      <c r="B121" s="317">
        <f>IF(C121=activestate,IF(D121='Heating Load'!C$2,1,0),0)</f>
        <v>0</v>
      </c>
      <c r="C121" s="12" t="s">
        <v>148</v>
      </c>
      <c r="D121" s="12" t="s">
        <v>438</v>
      </c>
      <c r="E121" s="22">
        <f t="shared" si="4"/>
        <v>5.0521292800000008</v>
      </c>
      <c r="F121" s="22">
        <f t="shared" si="4"/>
        <v>5.1621169600000005</v>
      </c>
      <c r="G121" s="22">
        <f t="shared" si="4"/>
        <v>5.6504953599999999</v>
      </c>
      <c r="H121" s="14">
        <v>-12</v>
      </c>
    </row>
    <row r="122" spans="1:8" ht="15" x14ac:dyDescent="0.25">
      <c r="A122" s="317">
        <v>116</v>
      </c>
      <c r="B122" s="317">
        <f>IF(C122=activestate,IF(D122='Heating Load'!C$2,1,0),0)</f>
        <v>0</v>
      </c>
      <c r="C122" s="12" t="s">
        <v>148</v>
      </c>
      <c r="D122" s="12" t="s">
        <v>439</v>
      </c>
      <c r="E122" s="22">
        <f t="shared" si="4"/>
        <v>5.0013092800000001</v>
      </c>
      <c r="F122" s="22">
        <f t="shared" si="4"/>
        <v>5.1095644599999996</v>
      </c>
      <c r="G122" s="22">
        <f t="shared" si="4"/>
        <v>5.5892803599999992</v>
      </c>
      <c r="H122" s="14">
        <v>-13</v>
      </c>
    </row>
    <row r="123" spans="1:8" ht="15" x14ac:dyDescent="0.25">
      <c r="A123" s="317">
        <v>117</v>
      </c>
      <c r="B123" s="317">
        <f>IF(C123=activestate,IF(D123='Heating Load'!C$2,1,0),0)</f>
        <v>0</v>
      </c>
      <c r="C123" s="12" t="s">
        <v>148</v>
      </c>
      <c r="D123" s="12" t="s">
        <v>440</v>
      </c>
      <c r="E123" s="22">
        <f t="shared" si="4"/>
        <v>5.7359051200000009</v>
      </c>
      <c r="F123" s="22">
        <f t="shared" si="4"/>
        <v>5.8692033400000003</v>
      </c>
      <c r="G123" s="22">
        <f t="shared" si="4"/>
        <v>6.4741344400000003</v>
      </c>
      <c r="H123" s="14">
        <v>-1</v>
      </c>
    </row>
    <row r="124" spans="1:8" ht="15" x14ac:dyDescent="0.25">
      <c r="A124" s="317">
        <v>118</v>
      </c>
      <c r="B124" s="317">
        <f>IF(C124=activestate,IF(D124='Heating Load'!C$2,1,0),0)</f>
        <v>0</v>
      </c>
      <c r="C124" s="12" t="s">
        <v>150</v>
      </c>
      <c r="D124" s="12" t="s">
        <v>441</v>
      </c>
      <c r="E124" s="22">
        <f t="shared" si="4"/>
        <v>7.2425267200000008</v>
      </c>
      <c r="F124" s="22">
        <f t="shared" si="4"/>
        <v>7.4271870399999997</v>
      </c>
      <c r="G124" s="22">
        <f t="shared" si="4"/>
        <v>8.28892864</v>
      </c>
      <c r="H124" s="14">
        <v>16</v>
      </c>
    </row>
    <row r="125" spans="1:8" ht="15" x14ac:dyDescent="0.25">
      <c r="A125" s="317">
        <v>119</v>
      </c>
      <c r="B125" s="317">
        <f>IF(C125=activestate,IF(D125='Heating Load'!C$2,1,0),0)</f>
        <v>0</v>
      </c>
      <c r="C125" s="12" t="s">
        <v>150</v>
      </c>
      <c r="D125" s="12" t="s">
        <v>444</v>
      </c>
      <c r="E125" s="22">
        <f t="shared" si="4"/>
        <v>8.763245920000001</v>
      </c>
      <c r="F125" s="22">
        <f t="shared" si="4"/>
        <v>8.9997489399999999</v>
      </c>
      <c r="G125" s="22">
        <f t="shared" si="4"/>
        <v>10.12070404</v>
      </c>
      <c r="H125" s="14">
        <v>29</v>
      </c>
    </row>
    <row r="126" spans="1:8" ht="15" x14ac:dyDescent="0.25">
      <c r="A126" s="317">
        <v>120</v>
      </c>
      <c r="B126" s="317">
        <f>IF(C126=activestate,IF(D126='Heating Load'!C$2,1,0),0)</f>
        <v>0</v>
      </c>
      <c r="C126" s="12" t="s">
        <v>150</v>
      </c>
      <c r="D126" s="12" t="s">
        <v>445</v>
      </c>
      <c r="E126" s="22">
        <f t="shared" si="4"/>
        <v>8.0216804800000006</v>
      </c>
      <c r="F126" s="22">
        <f t="shared" si="4"/>
        <v>8.2329028599999994</v>
      </c>
      <c r="G126" s="22">
        <f t="shared" si="4"/>
        <v>9.2274547600000005</v>
      </c>
      <c r="H126" s="14">
        <v>23</v>
      </c>
    </row>
    <row r="127" spans="1:8" ht="15" x14ac:dyDescent="0.25">
      <c r="A127" s="317">
        <v>121</v>
      </c>
      <c r="B127" s="317">
        <f>IF(C127=activestate,IF(D127='Heating Load'!C$2,1,0),0)</f>
        <v>0</v>
      </c>
      <c r="C127" s="12" t="s">
        <v>150</v>
      </c>
      <c r="D127" s="12" t="s">
        <v>446</v>
      </c>
      <c r="E127" s="22">
        <f t="shared" si="4"/>
        <v>7.5651083200000011</v>
      </c>
      <c r="F127" s="22">
        <f t="shared" si="4"/>
        <v>7.7607657400000001</v>
      </c>
      <c r="G127" s="22">
        <f t="shared" si="4"/>
        <v>8.6774928399999993</v>
      </c>
      <c r="H127" s="14">
        <v>19</v>
      </c>
    </row>
    <row r="128" spans="1:8" ht="15" x14ac:dyDescent="0.25">
      <c r="A128" s="317">
        <v>122</v>
      </c>
      <c r="B128" s="317">
        <f>IF(C128=activestate,IF(D128='Heating Load'!C$2,1,0),0)</f>
        <v>0</v>
      </c>
      <c r="C128" s="12" t="s">
        <v>150</v>
      </c>
      <c r="D128" s="12" t="s">
        <v>447</v>
      </c>
      <c r="E128" s="22">
        <f t="shared" si="4"/>
        <v>7.6764160000000006</v>
      </c>
      <c r="F128" s="22">
        <f t="shared" si="4"/>
        <v>7.8758679999999996</v>
      </c>
      <c r="G128" s="22">
        <f t="shared" si="4"/>
        <v>8.8115679999999994</v>
      </c>
      <c r="H128" s="14">
        <v>20</v>
      </c>
    </row>
    <row r="129" spans="1:8" ht="15" x14ac:dyDescent="0.25">
      <c r="A129" s="317">
        <v>123</v>
      </c>
      <c r="B129" s="317">
        <f>IF(C129=activestate,IF(D129='Heating Load'!C$2,1,0),0)</f>
        <v>0</v>
      </c>
      <c r="C129" s="12" t="s">
        <v>150</v>
      </c>
      <c r="D129" s="12" t="s">
        <v>346</v>
      </c>
      <c r="E129" s="22">
        <f t="shared" si="4"/>
        <v>8.5084964800000016</v>
      </c>
      <c r="F129" s="22">
        <f t="shared" si="4"/>
        <v>8.7363148600000002</v>
      </c>
      <c r="G129" s="22">
        <f t="shared" si="4"/>
        <v>9.8138467600000006</v>
      </c>
      <c r="H129" s="14">
        <v>27</v>
      </c>
    </row>
    <row r="130" spans="1:8" ht="15" x14ac:dyDescent="0.25">
      <c r="A130" s="317">
        <v>124</v>
      </c>
      <c r="B130" s="317">
        <f>IF(C130=activestate,IF(D130='Heating Load'!C$2,1,0),0)</f>
        <v>0</v>
      </c>
      <c r="C130" s="12" t="s">
        <v>152</v>
      </c>
      <c r="D130" s="12" t="s">
        <v>448</v>
      </c>
      <c r="E130" s="22">
        <f t="shared" si="4"/>
        <v>4.8601907200000003</v>
      </c>
      <c r="F130" s="22">
        <f t="shared" si="4"/>
        <v>4.9636350399999998</v>
      </c>
      <c r="G130" s="22">
        <f t="shared" si="4"/>
        <v>5.4192966399999998</v>
      </c>
      <c r="H130" s="14">
        <v>-16</v>
      </c>
    </row>
    <row r="131" spans="1:8" ht="15" x14ac:dyDescent="0.25">
      <c r="A131" s="317">
        <v>125</v>
      </c>
      <c r="B131" s="317">
        <f>IF(C131=activestate,IF(D131='Heating Load'!C$2,1,0),0)</f>
        <v>0</v>
      </c>
      <c r="C131" s="12" t="s">
        <v>152</v>
      </c>
      <c r="D131" s="12" t="s">
        <v>449</v>
      </c>
      <c r="E131" s="22">
        <f t="shared" si="4"/>
        <v>4.8169316799999997</v>
      </c>
      <c r="F131" s="22">
        <f t="shared" si="4"/>
        <v>4.9189012599999993</v>
      </c>
      <c r="G131" s="22">
        <f t="shared" si="4"/>
        <v>5.3671891599999997</v>
      </c>
      <c r="H131" s="14">
        <v>-17</v>
      </c>
    </row>
    <row r="132" spans="1:8" ht="15" x14ac:dyDescent="0.25">
      <c r="A132" s="317">
        <v>126</v>
      </c>
      <c r="B132" s="317">
        <f>IF(C132=activestate,IF(D132='Heating Load'!C$2,1,0),0)</f>
        <v>0</v>
      </c>
      <c r="C132" s="12" t="s">
        <v>152</v>
      </c>
      <c r="D132" s="12" t="s">
        <v>450</v>
      </c>
      <c r="E132" s="22">
        <f t="shared" si="4"/>
        <v>4.8601907200000003</v>
      </c>
      <c r="F132" s="22">
        <f t="shared" si="4"/>
        <v>4.9636350399999998</v>
      </c>
      <c r="G132" s="22">
        <f t="shared" si="4"/>
        <v>5.4192966399999998</v>
      </c>
      <c r="H132" s="14">
        <v>-16</v>
      </c>
    </row>
    <row r="133" spans="1:8" ht="15" x14ac:dyDescent="0.25">
      <c r="A133" s="317">
        <v>127</v>
      </c>
      <c r="B133" s="317">
        <f>IF(C133=activestate,IF(D133='Heating Load'!C$2,1,0),0)</f>
        <v>0</v>
      </c>
      <c r="C133" s="12" t="s">
        <v>154</v>
      </c>
      <c r="D133" s="12" t="s">
        <v>451</v>
      </c>
      <c r="E133" s="22">
        <f t="shared" si="4"/>
        <v>5.6642924800000003</v>
      </c>
      <c r="F133" s="22">
        <f t="shared" si="4"/>
        <v>5.7951493599999999</v>
      </c>
      <c r="G133" s="22">
        <f t="shared" si="4"/>
        <v>6.3878737599999997</v>
      </c>
      <c r="H133" s="14">
        <v>-2</v>
      </c>
    </row>
    <row r="134" spans="1:8" ht="15" x14ac:dyDescent="0.25">
      <c r="A134" s="317">
        <v>128</v>
      </c>
      <c r="B134" s="317">
        <f>IF(C134=activestate,IF(D134='Heating Load'!C$2,1,0),0)</f>
        <v>0</v>
      </c>
      <c r="C134" s="12" t="s">
        <v>154</v>
      </c>
      <c r="D134" s="12" t="s">
        <v>452</v>
      </c>
      <c r="E134" s="22">
        <f t="shared" si="4"/>
        <v>5.4607960000000002</v>
      </c>
      <c r="F134" s="22">
        <f t="shared" si="4"/>
        <v>5.5847154999999997</v>
      </c>
      <c r="G134" s="22">
        <f t="shared" si="4"/>
        <v>6.1427529999999999</v>
      </c>
      <c r="H134" s="14">
        <v>-5</v>
      </c>
    </row>
    <row r="135" spans="1:8" ht="15" x14ac:dyDescent="0.25">
      <c r="A135" s="317">
        <v>129</v>
      </c>
      <c r="B135" s="317">
        <f>IF(C135=activestate,IF(D135='Heating Load'!C$2,1,0),0)</f>
        <v>0</v>
      </c>
      <c r="C135" s="12" t="s">
        <v>154</v>
      </c>
      <c r="D135" s="12" t="s">
        <v>453</v>
      </c>
      <c r="E135" s="22">
        <f t="shared" si="4"/>
        <v>5.5267379200000004</v>
      </c>
      <c r="F135" s="22">
        <f t="shared" si="4"/>
        <v>5.6529054399999996</v>
      </c>
      <c r="G135" s="22">
        <f t="shared" si="4"/>
        <v>6.22218304</v>
      </c>
      <c r="H135" s="14">
        <v>-4</v>
      </c>
    </row>
    <row r="136" spans="1:8" ht="15" x14ac:dyDescent="0.25">
      <c r="A136" s="317">
        <v>130</v>
      </c>
      <c r="B136" s="317">
        <f>IF(C136=activestate,IF(D136='Heating Load'!C$2,1,0),0)</f>
        <v>0</v>
      </c>
      <c r="C136" s="12" t="s">
        <v>154</v>
      </c>
      <c r="D136" s="12" t="s">
        <v>454</v>
      </c>
      <c r="E136" s="22">
        <f t="shared" si="4"/>
        <v>5.6642924800000003</v>
      </c>
      <c r="F136" s="22">
        <f t="shared" si="4"/>
        <v>5.7951493599999999</v>
      </c>
      <c r="G136" s="22">
        <f t="shared" si="4"/>
        <v>6.3878737599999997</v>
      </c>
      <c r="H136" s="14">
        <v>-2</v>
      </c>
    </row>
    <row r="137" spans="1:8" x14ac:dyDescent="0.2">
      <c r="A137" s="317">
        <v>131</v>
      </c>
      <c r="B137" s="317">
        <f>IF(C137=activestate,IF(D137='Heating Load'!C$2,1,0),0)</f>
        <v>0</v>
      </c>
      <c r="C137" s="12" t="s">
        <v>154</v>
      </c>
      <c r="D137" s="12" t="s">
        <v>455</v>
      </c>
      <c r="E137" s="22">
        <f t="shared" si="4"/>
        <v>5.5945700800000004</v>
      </c>
      <c r="F137" s="22">
        <f t="shared" si="4"/>
        <v>5.7230500600000003</v>
      </c>
      <c r="G137" s="22">
        <f t="shared" si="4"/>
        <v>6.3038899599999993</v>
      </c>
      <c r="H137" s="373">
        <v>-3</v>
      </c>
    </row>
    <row r="138" spans="1:8" ht="15" x14ac:dyDescent="0.25">
      <c r="A138" s="317">
        <v>132</v>
      </c>
      <c r="B138" s="317">
        <f>IF(C138=activestate,IF(D138='Heating Load'!C$2,1,0),0)</f>
        <v>0</v>
      </c>
      <c r="C138" s="12" t="s">
        <v>156</v>
      </c>
      <c r="D138" s="12" t="s">
        <v>456</v>
      </c>
      <c r="E138" s="22">
        <f t="shared" si="4"/>
        <v>5.6642924800000003</v>
      </c>
      <c r="F138" s="22">
        <f t="shared" si="4"/>
        <v>5.7951493599999999</v>
      </c>
      <c r="G138" s="22">
        <f t="shared" si="4"/>
        <v>6.3878737599999997</v>
      </c>
      <c r="H138" s="14">
        <v>-2</v>
      </c>
    </row>
    <row r="139" spans="1:8" ht="15" x14ac:dyDescent="0.25">
      <c r="A139" s="317">
        <v>133</v>
      </c>
      <c r="B139" s="317">
        <f>IF(C139=activestate,IF(D139='Heating Load'!C$2,1,0),0)</f>
        <v>0</v>
      </c>
      <c r="C139" s="12" t="s">
        <v>158</v>
      </c>
      <c r="D139" s="12" t="s">
        <v>457</v>
      </c>
      <c r="E139" s="22">
        <f t="shared" si="4"/>
        <v>6.9369572800000006</v>
      </c>
      <c r="F139" s="22">
        <f t="shared" si="4"/>
        <v>7.1112004600000001</v>
      </c>
      <c r="G139" s="22">
        <f t="shared" si="4"/>
        <v>7.9208563600000002</v>
      </c>
      <c r="H139" s="14">
        <v>13</v>
      </c>
    </row>
    <row r="140" spans="1:8" ht="15" x14ac:dyDescent="0.25">
      <c r="A140" s="317">
        <v>134</v>
      </c>
      <c r="B140" s="317">
        <f>IF(C140=activestate,IF(D140='Heating Load'!C$2,1,0),0)</f>
        <v>0</v>
      </c>
      <c r="C140" s="12" t="s">
        <v>158</v>
      </c>
      <c r="D140" s="12" t="s">
        <v>458</v>
      </c>
      <c r="E140" s="22">
        <f t="shared" si="4"/>
        <v>7.0369235200000002</v>
      </c>
      <c r="F140" s="22">
        <f t="shared" si="4"/>
        <v>7.2145746400000004</v>
      </c>
      <c r="G140" s="22">
        <f t="shared" si="4"/>
        <v>8.0412702399999993</v>
      </c>
      <c r="H140" s="14">
        <v>14</v>
      </c>
    </row>
    <row r="141" spans="1:8" ht="15" x14ac:dyDescent="0.25">
      <c r="A141" s="317">
        <v>135</v>
      </c>
      <c r="B141" s="317">
        <f>IF(C141=activestate,IF(D141='Heating Load'!C$2,1,0),0)</f>
        <v>0</v>
      </c>
      <c r="C141" s="12" t="s">
        <v>161</v>
      </c>
      <c r="D141" s="12" t="s">
        <v>459</v>
      </c>
      <c r="E141" s="22">
        <f t="shared" si="4"/>
        <v>7.4556908800000006</v>
      </c>
      <c r="F141" s="22">
        <f t="shared" si="4"/>
        <v>7.6476181600000004</v>
      </c>
      <c r="G141" s="22">
        <f t="shared" si="4"/>
        <v>8.5456945599999994</v>
      </c>
      <c r="H141" s="14">
        <v>18</v>
      </c>
    </row>
    <row r="142" spans="1:8" ht="15" x14ac:dyDescent="0.25">
      <c r="A142" s="317">
        <v>136</v>
      </c>
      <c r="B142" s="317">
        <f>IF(C142=activestate,IF(D142='Heating Load'!C$2,1,0),0)</f>
        <v>0</v>
      </c>
      <c r="C142" s="12" t="s">
        <v>161</v>
      </c>
      <c r="D142" s="12" t="s">
        <v>460</v>
      </c>
      <c r="E142" s="22">
        <f t="shared" si="4"/>
        <v>7.1387800000000006</v>
      </c>
      <c r="F142" s="22">
        <f t="shared" si="4"/>
        <v>7.3199034999999997</v>
      </c>
      <c r="G142" s="22">
        <f t="shared" si="4"/>
        <v>8.1639610000000005</v>
      </c>
      <c r="H142" s="14">
        <v>15</v>
      </c>
    </row>
    <row r="143" spans="1:8" ht="15" x14ac:dyDescent="0.25">
      <c r="A143" s="317">
        <v>137</v>
      </c>
      <c r="B143" s="317">
        <f>IF(C143=activestate,IF(D143='Heating Load'!C$2,1,0),0)</f>
        <v>0</v>
      </c>
      <c r="C143" s="12" t="s">
        <v>163</v>
      </c>
      <c r="D143" s="12" t="s">
        <v>461</v>
      </c>
      <c r="E143" s="22">
        <f t="shared" si="4"/>
        <v>5.8848011200000006</v>
      </c>
      <c r="F143" s="22">
        <f t="shared" si="4"/>
        <v>6.0231753399999999</v>
      </c>
      <c r="G143" s="22">
        <f t="shared" si="4"/>
        <v>6.65348644</v>
      </c>
      <c r="H143" s="14">
        <v>1</v>
      </c>
    </row>
    <row r="144" spans="1:8" ht="15" x14ac:dyDescent="0.25">
      <c r="A144" s="317">
        <v>138</v>
      </c>
      <c r="B144" s="317">
        <f>IF(C144=activestate,IF(D144='Heating Load'!C$2,1,0),0)</f>
        <v>0</v>
      </c>
      <c r="C144" s="12" t="s">
        <v>163</v>
      </c>
      <c r="D144" s="12" t="s">
        <v>462</v>
      </c>
      <c r="E144" s="22">
        <f t="shared" si="4"/>
        <v>5.8094080000000003</v>
      </c>
      <c r="F144" s="22">
        <f t="shared" si="4"/>
        <v>5.9452119999999997</v>
      </c>
      <c r="G144" s="22">
        <f t="shared" si="4"/>
        <v>6.5626720000000001</v>
      </c>
      <c r="H144" s="14">
        <v>0</v>
      </c>
    </row>
    <row r="145" spans="1:8" ht="15" x14ac:dyDescent="0.25">
      <c r="A145" s="317">
        <v>139</v>
      </c>
      <c r="B145" s="317">
        <f>IF(C145=activestate,IF(D145='Heating Load'!C$2,1,0),0)</f>
        <v>0</v>
      </c>
      <c r="C145" s="12" t="s">
        <v>163</v>
      </c>
      <c r="D145" s="12" t="s">
        <v>463</v>
      </c>
      <c r="E145" s="22">
        <f t="shared" si="4"/>
        <v>8.8934560000000005</v>
      </c>
      <c r="F145" s="22">
        <f t="shared" si="4"/>
        <v>9.1343979999999991</v>
      </c>
      <c r="G145" s="22">
        <f t="shared" si="4"/>
        <v>10.277547999999999</v>
      </c>
      <c r="H145" s="14">
        <v>30</v>
      </c>
    </row>
    <row r="146" spans="1:8" ht="15" x14ac:dyDescent="0.25">
      <c r="A146" s="317">
        <v>140</v>
      </c>
      <c r="B146" s="317">
        <f>IF(C146=activestate,IF(D146='Heating Load'!C$2,1,0),0)</f>
        <v>0</v>
      </c>
      <c r="C146" s="12" t="s">
        <v>163</v>
      </c>
      <c r="D146" s="12" t="s">
        <v>464</v>
      </c>
      <c r="E146" s="22">
        <f t="shared" si="4"/>
        <v>6.9369572800000006</v>
      </c>
      <c r="F146" s="22">
        <f t="shared" si="4"/>
        <v>7.1112004600000001</v>
      </c>
      <c r="G146" s="22">
        <f t="shared" si="4"/>
        <v>7.9208563600000002</v>
      </c>
      <c r="H146" s="14">
        <v>13</v>
      </c>
    </row>
    <row r="147" spans="1:8" ht="15" x14ac:dyDescent="0.25">
      <c r="A147" s="317">
        <v>141</v>
      </c>
      <c r="B147" s="317">
        <f>IF(C147=activestate,IF(D147='Heating Load'!C$2,1,0),0)</f>
        <v>0</v>
      </c>
      <c r="C147" s="12" t="s">
        <v>163</v>
      </c>
      <c r="D147" s="12" t="s">
        <v>465</v>
      </c>
      <c r="E147" s="22">
        <f t="shared" si="4"/>
        <v>6.9369572800000006</v>
      </c>
      <c r="F147" s="22">
        <f t="shared" si="4"/>
        <v>7.1112004600000001</v>
      </c>
      <c r="G147" s="22">
        <f t="shared" si="4"/>
        <v>7.9208563600000002</v>
      </c>
      <c r="H147" s="14">
        <v>13</v>
      </c>
    </row>
    <row r="148" spans="1:8" ht="15" x14ac:dyDescent="0.25">
      <c r="A148" s="317">
        <v>142</v>
      </c>
      <c r="B148" s="317">
        <f>IF(C148=activestate,IF(D148='Heating Load'!C$2,1,0),0)</f>
        <v>0</v>
      </c>
      <c r="C148" s="12" t="s">
        <v>163</v>
      </c>
      <c r="D148" s="12" t="s">
        <v>466</v>
      </c>
      <c r="E148" s="22">
        <f t="shared" si="4"/>
        <v>6.3768548800000007</v>
      </c>
      <c r="F148" s="22">
        <f t="shared" si="4"/>
        <v>6.53200366</v>
      </c>
      <c r="G148" s="22">
        <f t="shared" si="4"/>
        <v>7.2461875599999992</v>
      </c>
      <c r="H148" s="14">
        <v>7</v>
      </c>
    </row>
    <row r="149" spans="1:8" ht="15" x14ac:dyDescent="0.25">
      <c r="A149" s="317">
        <v>143</v>
      </c>
      <c r="B149" s="317">
        <f>IF(C149=activestate,IF(D149='Heating Load'!C$2,1,0),0)</f>
        <v>0</v>
      </c>
      <c r="C149" s="12" t="s">
        <v>165</v>
      </c>
      <c r="D149" s="12" t="s">
        <v>467</v>
      </c>
      <c r="E149" s="22">
        <f t="shared" si="4"/>
        <v>5.6642924800000003</v>
      </c>
      <c r="F149" s="22">
        <f t="shared" si="4"/>
        <v>5.7951493599999999</v>
      </c>
      <c r="G149" s="22">
        <f t="shared" si="4"/>
        <v>6.3878737599999997</v>
      </c>
      <c r="H149" s="14">
        <v>-2</v>
      </c>
    </row>
    <row r="150" spans="1:8" ht="15" x14ac:dyDescent="0.25">
      <c r="A150" s="317">
        <v>144</v>
      </c>
      <c r="B150" s="317">
        <f>IF(C150=activestate,IF(D150='Heating Load'!C$2,1,0),0)</f>
        <v>0</v>
      </c>
      <c r="C150" s="12" t="s">
        <v>165</v>
      </c>
      <c r="D150" s="12" t="s">
        <v>470</v>
      </c>
      <c r="E150" s="22">
        <f t="shared" si="4"/>
        <v>5.9620844800000006</v>
      </c>
      <c r="F150" s="22">
        <f t="shared" si="4"/>
        <v>6.1030933599999999</v>
      </c>
      <c r="G150" s="22">
        <f t="shared" si="4"/>
        <v>6.7465777600000001</v>
      </c>
      <c r="H150" s="14">
        <v>2</v>
      </c>
    </row>
    <row r="151" spans="1:8" ht="15" x14ac:dyDescent="0.25">
      <c r="A151" s="317">
        <v>145</v>
      </c>
      <c r="B151" s="317">
        <f>IF(C151=activestate,IF(D151='Heating Load'!C$2,1,0),0)</f>
        <v>0</v>
      </c>
      <c r="C151" s="12" t="s">
        <v>165</v>
      </c>
      <c r="D151" s="12" t="s">
        <v>471</v>
      </c>
      <c r="E151" s="22">
        <f t="shared" si="4"/>
        <v>6.2052760000000013</v>
      </c>
      <c r="F151" s="22">
        <f t="shared" si="4"/>
        <v>6.3545754999999993</v>
      </c>
      <c r="G151" s="22">
        <f t="shared" si="4"/>
        <v>7.0395129999999995</v>
      </c>
      <c r="H151" s="14">
        <v>5</v>
      </c>
    </row>
    <row r="152" spans="1:8" ht="15" x14ac:dyDescent="0.25">
      <c r="A152" s="317">
        <v>146</v>
      </c>
      <c r="B152" s="317">
        <f>IF(C152=activestate,IF(D152='Heating Load'!C$2,1,0),0)</f>
        <v>0</v>
      </c>
      <c r="C152" s="12" t="s">
        <v>165</v>
      </c>
      <c r="D152" s="12" t="s">
        <v>472</v>
      </c>
      <c r="E152" s="22">
        <f t="shared" ref="E152:G216" si="5">+E$6-(E$6*((0.1392+(-0.00846*$H152)+(-0.0001074*$H152^2)+(0.0228*E$6))))</f>
        <v>5.15944</v>
      </c>
      <c r="F152" s="22">
        <f t="shared" si="5"/>
        <v>5.2730859999999993</v>
      </c>
      <c r="G152" s="22">
        <f t="shared" si="5"/>
        <v>5.7797559999999999</v>
      </c>
      <c r="H152" s="14">
        <v>-10</v>
      </c>
    </row>
    <row r="153" spans="1:8" ht="15" x14ac:dyDescent="0.25">
      <c r="A153" s="317">
        <v>147</v>
      </c>
      <c r="B153" s="317">
        <f>IF(C153=activestate,IF(D153='Heating Load'!C$2,1,0),0)</f>
        <v>0</v>
      </c>
      <c r="C153" s="12" t="s">
        <v>165</v>
      </c>
      <c r="D153" s="12" t="s">
        <v>473</v>
      </c>
      <c r="E153" s="22">
        <f t="shared" si="5"/>
        <v>7.2425267200000008</v>
      </c>
      <c r="F153" s="22">
        <f t="shared" si="5"/>
        <v>7.4271870399999997</v>
      </c>
      <c r="G153" s="22">
        <f t="shared" si="5"/>
        <v>8.28892864</v>
      </c>
      <c r="H153" s="14">
        <v>16</v>
      </c>
    </row>
    <row r="154" spans="1:8" ht="15" x14ac:dyDescent="0.25">
      <c r="A154" s="317">
        <v>148</v>
      </c>
      <c r="B154" s="317">
        <f>IF(C154=activestate,IF(D154='Heating Load'!C$2,1,0),0)</f>
        <v>0</v>
      </c>
      <c r="C154" s="12" t="s">
        <v>165</v>
      </c>
      <c r="D154" s="12" t="s">
        <v>425</v>
      </c>
      <c r="E154" s="22">
        <f t="shared" si="5"/>
        <v>6.2052760000000013</v>
      </c>
      <c r="F154" s="22">
        <f t="shared" si="5"/>
        <v>6.3545754999999993</v>
      </c>
      <c r="G154" s="22">
        <f t="shared" si="5"/>
        <v>7.0395129999999995</v>
      </c>
      <c r="H154" s="14">
        <v>5</v>
      </c>
    </row>
    <row r="155" spans="1:8" ht="15" x14ac:dyDescent="0.25">
      <c r="A155" s="317">
        <v>149</v>
      </c>
      <c r="B155" s="317">
        <f>IF(C155=activestate,IF(D155='Heating Load'!C$2,1,0),0)</f>
        <v>0</v>
      </c>
      <c r="C155" s="12" t="s">
        <v>165</v>
      </c>
      <c r="D155" s="12" t="s">
        <v>476</v>
      </c>
      <c r="E155" s="22">
        <f t="shared" si="5"/>
        <v>5.9620844800000006</v>
      </c>
      <c r="F155" s="22">
        <f t="shared" si="5"/>
        <v>6.1030933599999999</v>
      </c>
      <c r="G155" s="22">
        <f t="shared" si="5"/>
        <v>6.7465777600000001</v>
      </c>
      <c r="H155" s="14">
        <v>2</v>
      </c>
    </row>
    <row r="156" spans="1:8" ht="15" x14ac:dyDescent="0.25">
      <c r="A156" s="317">
        <v>150</v>
      </c>
      <c r="B156" s="317">
        <f>IF(C156=activestate,IF(D156='Heating Load'!C$2,1,0),0)</f>
        <v>0</v>
      </c>
      <c r="C156" s="12" t="s">
        <v>167</v>
      </c>
      <c r="D156" s="12" t="s">
        <v>477</v>
      </c>
      <c r="E156" s="22">
        <f t="shared" si="5"/>
        <v>6.2052760000000013</v>
      </c>
      <c r="F156" s="22">
        <f t="shared" si="5"/>
        <v>6.3545754999999993</v>
      </c>
      <c r="G156" s="22">
        <f t="shared" si="5"/>
        <v>7.0395129999999995</v>
      </c>
      <c r="H156" s="14">
        <v>5</v>
      </c>
    </row>
    <row r="157" spans="1:8" ht="15" x14ac:dyDescent="0.25">
      <c r="A157" s="317">
        <v>151</v>
      </c>
      <c r="B157" s="317">
        <f>IF(C157=activestate,IF(D157='Heating Load'!C$2,1,0),0)</f>
        <v>0</v>
      </c>
      <c r="C157" s="12" t="s">
        <v>167</v>
      </c>
      <c r="D157" s="12" t="s">
        <v>478</v>
      </c>
      <c r="E157" s="22">
        <f t="shared" si="5"/>
        <v>6.2901203199999998</v>
      </c>
      <c r="F157" s="22">
        <f t="shared" si="5"/>
        <v>6.4423122399999997</v>
      </c>
      <c r="G157" s="22">
        <f t="shared" si="5"/>
        <v>7.1417118400000001</v>
      </c>
      <c r="H157" s="14">
        <v>6</v>
      </c>
    </row>
    <row r="158" spans="1:8" ht="15" x14ac:dyDescent="0.25">
      <c r="A158" s="317">
        <v>152</v>
      </c>
      <c r="B158" s="317">
        <f>IF(C158=activestate,IF(D158='Heating Load'!C$2,1,0),0)</f>
        <v>0</v>
      </c>
      <c r="C158" s="12" t="s">
        <v>167</v>
      </c>
      <c r="D158" s="12" t="s">
        <v>359</v>
      </c>
      <c r="E158" s="22">
        <f t="shared" si="5"/>
        <v>6.4654796799999996</v>
      </c>
      <c r="F158" s="22">
        <f t="shared" si="5"/>
        <v>6.6236497599999993</v>
      </c>
      <c r="G158" s="22">
        <f t="shared" si="5"/>
        <v>7.3529401599999993</v>
      </c>
      <c r="H158" s="14">
        <v>8</v>
      </c>
    </row>
    <row r="159" spans="1:8" ht="15" x14ac:dyDescent="0.25">
      <c r="A159" s="317">
        <v>153</v>
      </c>
      <c r="B159" s="317">
        <f>IF(C159=activestate,IF(D159='Heating Load'!C$2,1,0),0)</f>
        <v>0</v>
      </c>
      <c r="C159" s="12" t="s">
        <v>167</v>
      </c>
      <c r="D159" s="12" t="s">
        <v>479</v>
      </c>
      <c r="E159" s="22">
        <f t="shared" si="5"/>
        <v>6.3332513200000005</v>
      </c>
      <c r="F159" s="22">
        <f t="shared" si="5"/>
        <v>6.4869136150000006</v>
      </c>
      <c r="G159" s="22">
        <f t="shared" si="5"/>
        <v>7.1936650899999997</v>
      </c>
      <c r="H159" s="14">
        <v>6.5</v>
      </c>
    </row>
    <row r="160" spans="1:8" ht="15" x14ac:dyDescent="0.25">
      <c r="A160" s="317">
        <v>154</v>
      </c>
      <c r="B160" s="317">
        <f>IF(C160=activestate,IF(D160='Heating Load'!C$2,1,0),0)</f>
        <v>0</v>
      </c>
      <c r="C160" s="12" t="s">
        <v>167</v>
      </c>
      <c r="D160" s="12" t="s">
        <v>480</v>
      </c>
      <c r="E160" s="22">
        <f t="shared" si="5"/>
        <v>6.122321920000001</v>
      </c>
      <c r="F160" s="22">
        <f t="shared" si="5"/>
        <v>6.2687934399999996</v>
      </c>
      <c r="G160" s="22">
        <f t="shared" si="5"/>
        <v>6.9395910399999998</v>
      </c>
      <c r="H160" s="14">
        <v>4</v>
      </c>
    </row>
    <row r="161" spans="1:8" ht="15" x14ac:dyDescent="0.25">
      <c r="A161" s="317">
        <v>155</v>
      </c>
      <c r="B161" s="317">
        <f>IF(C161=activestate,IF(D161='Heating Load'!C$2,1,0),0)</f>
        <v>0</v>
      </c>
      <c r="C161" s="12" t="s">
        <v>167</v>
      </c>
      <c r="D161" s="12" t="s">
        <v>481</v>
      </c>
      <c r="E161" s="22">
        <f t="shared" si="5"/>
        <v>6.0412580800000004</v>
      </c>
      <c r="F161" s="22">
        <f t="shared" si="5"/>
        <v>6.1849660599999998</v>
      </c>
      <c r="G161" s="22">
        <f t="shared" si="5"/>
        <v>6.8419459600000003</v>
      </c>
      <c r="H161" s="14">
        <v>3</v>
      </c>
    </row>
    <row r="162" spans="1:8" ht="15" x14ac:dyDescent="0.25">
      <c r="A162" s="317">
        <v>156</v>
      </c>
      <c r="B162" s="317">
        <f>IF(C162=activestate,IF(D162='Heating Load'!C$2,1,0),0)</f>
        <v>0</v>
      </c>
      <c r="C162" s="12" t="s">
        <v>167</v>
      </c>
      <c r="D162" s="12" t="s">
        <v>482</v>
      </c>
      <c r="E162" s="22">
        <f t="shared" si="5"/>
        <v>6.122321920000001</v>
      </c>
      <c r="F162" s="22">
        <f t="shared" si="5"/>
        <v>6.2687934399999996</v>
      </c>
      <c r="G162" s="22">
        <f t="shared" si="5"/>
        <v>6.9395910399999998</v>
      </c>
      <c r="H162" s="14">
        <v>4</v>
      </c>
    </row>
    <row r="163" spans="1:8" ht="15" x14ac:dyDescent="0.25">
      <c r="A163" s="317">
        <v>157</v>
      </c>
      <c r="B163" s="317">
        <f>IF(C163=activestate,IF(D163='Heating Load'!C$2,1,0),0)</f>
        <v>0</v>
      </c>
      <c r="C163" s="12" t="s">
        <v>169</v>
      </c>
      <c r="D163" s="12" t="s">
        <v>483</v>
      </c>
      <c r="E163" s="22">
        <f t="shared" si="5"/>
        <v>7.2425267200000008</v>
      </c>
      <c r="F163" s="22">
        <f t="shared" si="5"/>
        <v>7.4271870399999997</v>
      </c>
      <c r="G163" s="22">
        <f t="shared" si="5"/>
        <v>8.28892864</v>
      </c>
      <c r="H163" s="14">
        <v>16</v>
      </c>
    </row>
    <row r="164" spans="1:8" ht="15" x14ac:dyDescent="0.25">
      <c r="A164" s="317">
        <v>158</v>
      </c>
      <c r="B164" s="317">
        <f>IF(C164=activestate,IF(D164='Heating Load'!C$2,1,0),0)</f>
        <v>0</v>
      </c>
      <c r="C164" s="12" t="s">
        <v>169</v>
      </c>
      <c r="D164" s="12" t="s">
        <v>484</v>
      </c>
      <c r="E164" s="22">
        <f t="shared" si="5"/>
        <v>7.0369235200000002</v>
      </c>
      <c r="F164" s="22">
        <f t="shared" si="5"/>
        <v>7.2145746400000004</v>
      </c>
      <c r="G164" s="22">
        <f t="shared" si="5"/>
        <v>8.0412702399999993</v>
      </c>
      <c r="H164" s="14">
        <v>14</v>
      </c>
    </row>
    <row r="165" spans="1:8" ht="15" x14ac:dyDescent="0.25">
      <c r="A165" s="317">
        <v>159</v>
      </c>
      <c r="B165" s="317">
        <f>IF(C165=activestate,IF(D165='Heating Load'!C$2,1,0),0)</f>
        <v>0</v>
      </c>
      <c r="C165" s="12" t="s">
        <v>171</v>
      </c>
      <c r="D165" s="12" t="s">
        <v>485</v>
      </c>
      <c r="E165" s="22">
        <f t="shared" si="5"/>
        <v>8.763245920000001</v>
      </c>
      <c r="F165" s="22">
        <f t="shared" si="5"/>
        <v>8.9997489399999999</v>
      </c>
      <c r="G165" s="22">
        <f t="shared" si="5"/>
        <v>10.12070404</v>
      </c>
      <c r="H165" s="14">
        <v>29</v>
      </c>
    </row>
    <row r="166" spans="1:8" ht="15" x14ac:dyDescent="0.25">
      <c r="A166" s="317">
        <v>160</v>
      </c>
      <c r="B166" s="317">
        <f>IF(C166=activestate,IF(D166='Heating Load'!C$2,1,0),0)</f>
        <v>0</v>
      </c>
      <c r="C166" s="12" t="s">
        <v>171</v>
      </c>
      <c r="D166" s="12" t="s">
        <v>486</v>
      </c>
      <c r="E166" s="22">
        <f t="shared" si="5"/>
        <v>8.3839571199999998</v>
      </c>
      <c r="F166" s="22">
        <f t="shared" si="5"/>
        <v>8.6075298399999998</v>
      </c>
      <c r="G166" s="22">
        <f t="shared" si="5"/>
        <v>9.6638334399999994</v>
      </c>
      <c r="H166" s="14">
        <v>26</v>
      </c>
    </row>
    <row r="167" spans="1:8" ht="15" x14ac:dyDescent="0.25">
      <c r="A167" s="317">
        <v>161</v>
      </c>
      <c r="B167" s="317">
        <f>IF(C167=activestate,IF(D167='Heating Load'!C$2,1,0),0)</f>
        <v>0</v>
      </c>
      <c r="C167" s="12" t="s">
        <v>171</v>
      </c>
      <c r="D167" s="12" t="s">
        <v>487</v>
      </c>
      <c r="E167" s="22">
        <f t="shared" si="5"/>
        <v>8.1405491200000011</v>
      </c>
      <c r="F167" s="22">
        <f t="shared" si="5"/>
        <v>8.3558238399999993</v>
      </c>
      <c r="G167" s="22">
        <f t="shared" si="5"/>
        <v>9.3706374399999994</v>
      </c>
      <c r="H167" s="14">
        <v>24</v>
      </c>
    </row>
    <row r="168" spans="1:8" ht="15" x14ac:dyDescent="0.25">
      <c r="A168" s="317">
        <v>162</v>
      </c>
      <c r="B168" s="317">
        <f>IF(C168=activestate,IF(D168='Heating Load'!C$2,1,0),0)</f>
        <v>0</v>
      </c>
      <c r="C168" s="12" t="s">
        <v>171</v>
      </c>
      <c r="D168" s="12" t="s">
        <v>488</v>
      </c>
      <c r="E168" s="22">
        <f t="shared" si="5"/>
        <v>9.1595468800000006</v>
      </c>
      <c r="F168" s="22">
        <f t="shared" si="5"/>
        <v>9.4095601599999998</v>
      </c>
      <c r="G168" s="22">
        <f t="shared" si="5"/>
        <v>10.598066559999999</v>
      </c>
      <c r="H168" s="14">
        <v>32</v>
      </c>
    </row>
    <row r="169" spans="1:8" ht="15" x14ac:dyDescent="0.25">
      <c r="A169" s="317">
        <v>163</v>
      </c>
      <c r="B169" s="317">
        <f>IF(C169=activestate,IF(D169='Heating Load'!C$2,1,0),0)</f>
        <v>0</v>
      </c>
      <c r="C169" s="12" t="s">
        <v>171</v>
      </c>
      <c r="D169" s="12" t="s">
        <v>489</v>
      </c>
      <c r="E169" s="22">
        <f t="shared" si="5"/>
        <v>6.7426955199999998</v>
      </c>
      <c r="F169" s="22">
        <f t="shared" si="5"/>
        <v>6.9103161399999999</v>
      </c>
      <c r="G169" s="22">
        <f t="shared" si="5"/>
        <v>7.6868592400000004</v>
      </c>
      <c r="H169" s="14">
        <v>11</v>
      </c>
    </row>
    <row r="170" spans="1:8" ht="15" x14ac:dyDescent="0.25">
      <c r="A170" s="317">
        <v>164</v>
      </c>
      <c r="B170" s="317">
        <f>IF(C170=activestate,IF(D170='Heating Load'!C$2,1,0),0)</f>
        <v>0</v>
      </c>
      <c r="C170" s="12" t="s">
        <v>171</v>
      </c>
      <c r="D170" s="12" t="s">
        <v>411</v>
      </c>
      <c r="E170" s="22">
        <f t="shared" si="5"/>
        <v>8.5084964800000016</v>
      </c>
      <c r="F170" s="22">
        <f t="shared" si="5"/>
        <v>8.7363148600000002</v>
      </c>
      <c r="G170" s="22">
        <f t="shared" si="5"/>
        <v>9.8138467600000006</v>
      </c>
      <c r="H170" s="14">
        <v>27</v>
      </c>
    </row>
    <row r="171" spans="1:8" ht="15" x14ac:dyDescent="0.25">
      <c r="A171" s="317">
        <v>165</v>
      </c>
      <c r="B171" s="317">
        <f>IF(C171=activestate,IF(D171='Heating Load'!C$2,1,0),0)</f>
        <v>0</v>
      </c>
      <c r="C171" s="12" t="s">
        <v>171</v>
      </c>
      <c r="D171" s="12" t="s">
        <v>490</v>
      </c>
      <c r="E171" s="22">
        <f t="shared" si="5"/>
        <v>6.5559947200000002</v>
      </c>
      <c r="F171" s="22">
        <f t="shared" si="5"/>
        <v>6.7172505400000002</v>
      </c>
      <c r="G171" s="22">
        <f t="shared" si="5"/>
        <v>7.4619696399999995</v>
      </c>
      <c r="H171" s="14">
        <v>9</v>
      </c>
    </row>
    <row r="172" spans="1:8" ht="15" x14ac:dyDescent="0.25">
      <c r="A172" s="317">
        <v>166</v>
      </c>
      <c r="B172" s="317">
        <f>IF(C172=activestate,IF(D172='Heating Load'!C$2,1,0),0)</f>
        <v>0</v>
      </c>
      <c r="C172" s="12" t="s">
        <v>171</v>
      </c>
      <c r="D172" s="12" t="s">
        <v>491</v>
      </c>
      <c r="E172" s="22">
        <f t="shared" si="5"/>
        <v>8.2613080000000014</v>
      </c>
      <c r="F172" s="22">
        <f t="shared" si="5"/>
        <v>8.4806995000000001</v>
      </c>
      <c r="G172" s="22">
        <f t="shared" si="5"/>
        <v>9.5160970000000002</v>
      </c>
      <c r="H172" s="14">
        <v>25</v>
      </c>
    </row>
    <row r="173" spans="1:8" ht="15" x14ac:dyDescent="0.25">
      <c r="A173" s="317">
        <v>167</v>
      </c>
      <c r="B173" s="317">
        <f>IF(C173=activestate,IF(D173='Heating Load'!C$2,1,0),0)</f>
        <v>0</v>
      </c>
      <c r="C173" s="12" t="s">
        <v>173</v>
      </c>
      <c r="D173" s="12" t="s">
        <v>492</v>
      </c>
      <c r="E173" s="22">
        <f t="shared" si="5"/>
        <v>6.6484000000000005</v>
      </c>
      <c r="F173" s="22">
        <f t="shared" si="5"/>
        <v>6.8128060000000001</v>
      </c>
      <c r="G173" s="22">
        <f t="shared" si="5"/>
        <v>7.5732759999999999</v>
      </c>
      <c r="H173" s="14">
        <v>10</v>
      </c>
    </row>
    <row r="174" spans="1:8" ht="15" x14ac:dyDescent="0.25">
      <c r="A174" s="317">
        <v>168</v>
      </c>
      <c r="B174" s="317">
        <f>IF(C174=activestate,IF(D174='Heating Load'!C$2,1,0),0)</f>
        <v>0</v>
      </c>
      <c r="C174" s="12" t="s">
        <v>173</v>
      </c>
      <c r="D174" s="12" t="s">
        <v>493</v>
      </c>
      <c r="E174" s="22">
        <f t="shared" si="5"/>
        <v>5.7359051200000009</v>
      </c>
      <c r="F174" s="22">
        <f t="shared" si="5"/>
        <v>5.8692033400000003</v>
      </c>
      <c r="G174" s="22">
        <f t="shared" si="5"/>
        <v>6.4741344400000003</v>
      </c>
      <c r="H174" s="14">
        <v>-1</v>
      </c>
    </row>
    <row r="175" spans="1:8" ht="15" x14ac:dyDescent="0.25">
      <c r="A175" s="317">
        <v>169</v>
      </c>
      <c r="B175" s="317">
        <f>IF(C175=activestate,IF(D175='Heating Load'!C$2,1,0),0)</f>
        <v>0</v>
      </c>
      <c r="C175" s="12" t="s">
        <v>173</v>
      </c>
      <c r="D175" s="12" t="s">
        <v>494</v>
      </c>
      <c r="E175" s="22">
        <f t="shared" si="5"/>
        <v>6.3768548800000007</v>
      </c>
      <c r="F175" s="22">
        <f t="shared" si="5"/>
        <v>6.53200366</v>
      </c>
      <c r="G175" s="22">
        <f t="shared" si="5"/>
        <v>7.2461875599999992</v>
      </c>
      <c r="H175" s="14">
        <v>7</v>
      </c>
    </row>
    <row r="176" spans="1:8" ht="15" x14ac:dyDescent="0.25">
      <c r="A176" s="317">
        <v>170</v>
      </c>
      <c r="B176" s="317">
        <f>IF(C176=activestate,IF(D176='Heating Load'!C$2,1,0),0)</f>
        <v>0</v>
      </c>
      <c r="C176" s="12" t="s">
        <v>173</v>
      </c>
      <c r="D176" s="12" t="s">
        <v>495</v>
      </c>
      <c r="E176" s="22">
        <f t="shared" si="5"/>
        <v>6.9369572800000006</v>
      </c>
      <c r="F176" s="22">
        <f t="shared" si="5"/>
        <v>7.1112004600000001</v>
      </c>
      <c r="G176" s="22">
        <f t="shared" si="5"/>
        <v>7.9208563600000002</v>
      </c>
      <c r="H176" s="14">
        <v>13</v>
      </c>
    </row>
    <row r="177" spans="1:8" ht="15" x14ac:dyDescent="0.25">
      <c r="A177" s="317">
        <v>171</v>
      </c>
      <c r="B177" s="317">
        <f>IF(C177=activestate,IF(D177='Heating Load'!C$2,1,0),0)</f>
        <v>0</v>
      </c>
      <c r="C177" s="12" t="s">
        <v>173</v>
      </c>
      <c r="D177" s="12" t="s">
        <v>496</v>
      </c>
      <c r="E177" s="22">
        <f t="shared" si="5"/>
        <v>7.0703271923680004</v>
      </c>
      <c r="F177" s="22">
        <f t="shared" si="5"/>
        <v>7.2491170739259996</v>
      </c>
      <c r="G177" s="22">
        <f t="shared" si="5"/>
        <v>8.0815064817159996</v>
      </c>
      <c r="H177" s="14">
        <v>14.33</v>
      </c>
    </row>
    <row r="178" spans="1:8" ht="15" x14ac:dyDescent="0.25">
      <c r="A178" s="317">
        <v>172</v>
      </c>
      <c r="B178" s="317">
        <f>IF(C178=activestate,IF(D178='Heating Load'!C$2,1,0),0)</f>
        <v>0</v>
      </c>
      <c r="C178" s="12" t="s">
        <v>173</v>
      </c>
      <c r="D178" s="12" t="s">
        <v>497</v>
      </c>
      <c r="E178" s="22">
        <f t="shared" si="5"/>
        <v>6.5559947200000002</v>
      </c>
      <c r="F178" s="22">
        <f t="shared" si="5"/>
        <v>6.7172505400000002</v>
      </c>
      <c r="G178" s="22">
        <f t="shared" si="5"/>
        <v>7.4619696399999995</v>
      </c>
      <c r="H178" s="14">
        <v>9</v>
      </c>
    </row>
    <row r="179" spans="1:8" ht="15" x14ac:dyDescent="0.25">
      <c r="A179" s="317">
        <v>173</v>
      </c>
      <c r="B179" s="317">
        <f>IF(C179=activestate,IF(D179='Heating Load'!C$2,1,0),0)</f>
        <v>0</v>
      </c>
      <c r="C179" s="12" t="s">
        <v>173</v>
      </c>
      <c r="D179" s="12" t="s">
        <v>498</v>
      </c>
      <c r="E179" s="22">
        <f t="shared" si="5"/>
        <v>6.3768548800000007</v>
      </c>
      <c r="F179" s="22">
        <f t="shared" si="5"/>
        <v>6.53200366</v>
      </c>
      <c r="G179" s="22">
        <f t="shared" si="5"/>
        <v>7.2461875599999992</v>
      </c>
      <c r="H179" s="14">
        <v>7</v>
      </c>
    </row>
    <row r="180" spans="1:8" ht="15" x14ac:dyDescent="0.25">
      <c r="A180" s="317">
        <v>174</v>
      </c>
      <c r="B180" s="317">
        <f>IF(C180=activestate,IF(D180='Heating Load'!C$2,1,0),0)</f>
        <v>0</v>
      </c>
      <c r="C180" s="12" t="s">
        <v>173</v>
      </c>
      <c r="D180" s="12" t="s">
        <v>499</v>
      </c>
      <c r="E180" s="22">
        <f t="shared" si="5"/>
        <v>6.3768548800000007</v>
      </c>
      <c r="F180" s="22">
        <f t="shared" si="5"/>
        <v>6.53200366</v>
      </c>
      <c r="G180" s="22">
        <f t="shared" si="5"/>
        <v>7.2461875599999992</v>
      </c>
      <c r="H180" s="14">
        <v>7</v>
      </c>
    </row>
    <row r="181" spans="1:8" ht="15" x14ac:dyDescent="0.25">
      <c r="A181" s="317">
        <v>175</v>
      </c>
      <c r="B181" s="317">
        <f>IF(C181=activestate,IF(D181='Heating Load'!C$2,1,0),0)</f>
        <v>0</v>
      </c>
      <c r="C181" s="12" t="s">
        <v>175</v>
      </c>
      <c r="D181" s="12" t="s">
        <v>500</v>
      </c>
      <c r="E181" s="22">
        <f t="shared" si="5"/>
        <v>6.6484000000000005</v>
      </c>
      <c r="F181" s="22">
        <f t="shared" si="5"/>
        <v>6.8128060000000001</v>
      </c>
      <c r="G181" s="22">
        <f t="shared" si="5"/>
        <v>7.5732759999999999</v>
      </c>
      <c r="H181" s="14">
        <v>10</v>
      </c>
    </row>
    <row r="182" spans="1:8" ht="15" x14ac:dyDescent="0.25">
      <c r="A182" s="317">
        <v>176</v>
      </c>
      <c r="B182" s="317">
        <f>IF(C182=activestate,IF(D182='Heating Load'!C$2,1,0),0)</f>
        <v>0</v>
      </c>
      <c r="C182" s="12" t="s">
        <v>177</v>
      </c>
      <c r="D182" s="12" t="s">
        <v>501</v>
      </c>
      <c r="E182" s="22">
        <f t="shared" si="5"/>
        <v>8.6349260800000014</v>
      </c>
      <c r="F182" s="22">
        <f t="shared" si="5"/>
        <v>8.8670545599999997</v>
      </c>
      <c r="G182" s="22">
        <f t="shared" si="5"/>
        <v>9.96613696</v>
      </c>
      <c r="H182" s="14">
        <v>28</v>
      </c>
    </row>
    <row r="183" spans="1:8" ht="15" x14ac:dyDescent="0.25">
      <c r="A183" s="317">
        <v>177</v>
      </c>
      <c r="B183" s="317">
        <f>IF(C183=activestate,IF(D183='Heating Load'!C$2,1,0),0)</f>
        <v>0</v>
      </c>
      <c r="C183" s="12" t="s">
        <v>177</v>
      </c>
      <c r="D183" s="12" t="s">
        <v>427</v>
      </c>
      <c r="E183" s="22">
        <f t="shared" si="5"/>
        <v>8.1405491200000011</v>
      </c>
      <c r="F183" s="22">
        <f t="shared" si="5"/>
        <v>8.3558238399999993</v>
      </c>
      <c r="G183" s="22">
        <f t="shared" si="5"/>
        <v>9.3706374399999994</v>
      </c>
      <c r="H183" s="14">
        <v>24</v>
      </c>
    </row>
    <row r="184" spans="1:8" ht="15" x14ac:dyDescent="0.25">
      <c r="A184" s="317">
        <v>178</v>
      </c>
      <c r="B184" s="317">
        <f>IF(C184=activestate,IF(D184='Heating Load'!C$2,1,0),0)</f>
        <v>0</v>
      </c>
      <c r="C184" s="12" t="s">
        <v>177</v>
      </c>
      <c r="D184" s="12" t="s">
        <v>502</v>
      </c>
      <c r="E184" s="22">
        <f t="shared" si="5"/>
        <v>8.0216804800000006</v>
      </c>
      <c r="F184" s="22">
        <f t="shared" si="5"/>
        <v>8.2329028599999994</v>
      </c>
      <c r="G184" s="22">
        <f t="shared" si="5"/>
        <v>9.2274547600000005</v>
      </c>
      <c r="H184" s="14">
        <v>23</v>
      </c>
    </row>
    <row r="185" spans="1:8" ht="15" x14ac:dyDescent="0.25">
      <c r="A185" s="317">
        <v>179</v>
      </c>
      <c r="B185" s="317">
        <f>IF(C185=activestate,IF(D185='Heating Load'!C$2,1,0),0)</f>
        <v>0</v>
      </c>
      <c r="C185" s="12" t="s">
        <v>179</v>
      </c>
      <c r="D185" s="12" t="s">
        <v>503</v>
      </c>
      <c r="E185" s="22">
        <f t="shared" si="5"/>
        <v>5.0521292800000008</v>
      </c>
      <c r="F185" s="22">
        <f t="shared" si="5"/>
        <v>5.1621169600000005</v>
      </c>
      <c r="G185" s="22">
        <f t="shared" si="5"/>
        <v>5.6504953599999999</v>
      </c>
      <c r="H185" s="14">
        <v>-12</v>
      </c>
    </row>
    <row r="186" spans="1:8" ht="15" x14ac:dyDescent="0.25">
      <c r="A186" s="317">
        <v>180</v>
      </c>
      <c r="B186" s="317">
        <f>IF(C186=activestate,IF(D186='Heating Load'!C$2,1,0),0)</f>
        <v>0</v>
      </c>
      <c r="C186" s="12" t="s">
        <v>179</v>
      </c>
      <c r="D186" s="12" t="s">
        <v>504</v>
      </c>
      <c r="E186" s="22">
        <f t="shared" si="5"/>
        <v>5.2159307200000011</v>
      </c>
      <c r="F186" s="22">
        <f t="shared" si="5"/>
        <v>5.3315025400000007</v>
      </c>
      <c r="G186" s="22">
        <f t="shared" si="5"/>
        <v>5.8478016400000001</v>
      </c>
      <c r="H186" s="14">
        <v>-9</v>
      </c>
    </row>
    <row r="187" spans="1:8" ht="15" x14ac:dyDescent="0.25">
      <c r="A187" s="317">
        <v>181</v>
      </c>
      <c r="B187" s="317">
        <f>IF(C187=activestate,IF(D187='Heating Load'!C$2,1,0),0)</f>
        <v>0</v>
      </c>
      <c r="C187" s="12" t="s">
        <v>179</v>
      </c>
      <c r="D187" s="12" t="s">
        <v>505</v>
      </c>
      <c r="E187" s="22">
        <f t="shared" si="5"/>
        <v>5.4607960000000002</v>
      </c>
      <c r="F187" s="22">
        <f t="shared" si="5"/>
        <v>5.5847154999999997</v>
      </c>
      <c r="G187" s="22">
        <f t="shared" si="5"/>
        <v>6.1427529999999999</v>
      </c>
      <c r="H187" s="14">
        <v>-5</v>
      </c>
    </row>
    <row r="188" spans="1:8" ht="15" x14ac:dyDescent="0.25">
      <c r="A188" s="317">
        <v>182</v>
      </c>
      <c r="B188" s="317">
        <f>IF(C188=activestate,IF(D188='Heating Load'!C$2,1,0),0)</f>
        <v>0</v>
      </c>
      <c r="C188" s="12" t="s">
        <v>179</v>
      </c>
      <c r="D188" s="12" t="s">
        <v>506</v>
      </c>
      <c r="E188" s="22">
        <f t="shared" si="5"/>
        <v>5.1048395200000005</v>
      </c>
      <c r="F188" s="22">
        <f t="shared" si="5"/>
        <v>5.2166241399999995</v>
      </c>
      <c r="G188" s="22">
        <f t="shared" si="5"/>
        <v>5.7139872399999998</v>
      </c>
      <c r="H188" s="14">
        <v>-11</v>
      </c>
    </row>
    <row r="189" spans="1:8" ht="15" x14ac:dyDescent="0.25">
      <c r="A189" s="317">
        <v>183</v>
      </c>
      <c r="B189" s="317">
        <f>IF(C189=activestate,IF(D189='Heating Load'!C$2,1,0),0)</f>
        <v>0</v>
      </c>
      <c r="C189" s="12" t="s">
        <v>181</v>
      </c>
      <c r="D189" s="12" t="s">
        <v>507</v>
      </c>
      <c r="E189" s="22">
        <f t="shared" si="5"/>
        <v>7.0369235200000002</v>
      </c>
      <c r="F189" s="22">
        <f t="shared" si="5"/>
        <v>7.2145746400000004</v>
      </c>
      <c r="G189" s="22">
        <f t="shared" si="5"/>
        <v>8.0412702399999993</v>
      </c>
      <c r="H189" s="14">
        <v>14</v>
      </c>
    </row>
    <row r="190" spans="1:8" ht="15" x14ac:dyDescent="0.25">
      <c r="A190" s="317">
        <v>184</v>
      </c>
      <c r="B190" s="317">
        <f>IF(C190=activestate,IF(D190='Heating Load'!C$2,1,0),0)</f>
        <v>0</v>
      </c>
      <c r="C190" s="12" t="s">
        <v>181</v>
      </c>
      <c r="D190" s="12" t="s">
        <v>508</v>
      </c>
      <c r="E190" s="22">
        <f t="shared" si="5"/>
        <v>7.6764160000000006</v>
      </c>
      <c r="F190" s="22">
        <f t="shared" si="5"/>
        <v>7.8758679999999996</v>
      </c>
      <c r="G190" s="22">
        <f t="shared" si="5"/>
        <v>8.8115679999999994</v>
      </c>
      <c r="H190" s="14">
        <v>20</v>
      </c>
    </row>
    <row r="191" spans="1:8" ht="15" x14ac:dyDescent="0.25">
      <c r="A191" s="317">
        <v>185</v>
      </c>
      <c r="B191" s="317">
        <f>IF(C191=activestate,IF(D191='Heating Load'!C$2,1,0),0)</f>
        <v>0</v>
      </c>
      <c r="C191" s="12" t="s">
        <v>181</v>
      </c>
      <c r="D191" s="12" t="s">
        <v>509</v>
      </c>
      <c r="E191" s="22">
        <f t="shared" si="5"/>
        <v>7.5651083200000011</v>
      </c>
      <c r="F191" s="22">
        <f t="shared" si="5"/>
        <v>7.7607657400000001</v>
      </c>
      <c r="G191" s="22">
        <f t="shared" si="5"/>
        <v>8.6774928399999993</v>
      </c>
      <c r="H191" s="14">
        <v>19</v>
      </c>
    </row>
    <row r="192" spans="1:8" ht="15" x14ac:dyDescent="0.25">
      <c r="A192" s="317">
        <v>186</v>
      </c>
      <c r="B192" s="317">
        <f>IF(C192=activestate,IF(D192='Heating Load'!C$2,1,0),0)</f>
        <v>0</v>
      </c>
      <c r="C192" s="12" t="s">
        <v>181</v>
      </c>
      <c r="D192" s="12" t="s">
        <v>510</v>
      </c>
      <c r="E192" s="22">
        <f t="shared" si="5"/>
        <v>7.7896139200000007</v>
      </c>
      <c r="F192" s="22">
        <f t="shared" si="5"/>
        <v>7.99292494</v>
      </c>
      <c r="G192" s="22">
        <f t="shared" si="5"/>
        <v>8.9479200399999996</v>
      </c>
      <c r="H192" s="14">
        <v>21</v>
      </c>
    </row>
    <row r="193" spans="1:8" ht="15" x14ac:dyDescent="0.25">
      <c r="A193" s="317">
        <v>187</v>
      </c>
      <c r="B193" s="317">
        <f>IF(C193=activestate,IF(D193='Heating Load'!C$2,1,0),0)</f>
        <v>0</v>
      </c>
      <c r="C193" s="12" t="s">
        <v>181</v>
      </c>
      <c r="D193" s="12" t="s">
        <v>511</v>
      </c>
      <c r="E193" s="22">
        <f t="shared" si="5"/>
        <v>7.2425267200000008</v>
      </c>
      <c r="F193" s="22">
        <f t="shared" si="5"/>
        <v>7.4271870399999997</v>
      </c>
      <c r="G193" s="22">
        <f t="shared" si="5"/>
        <v>8.28892864</v>
      </c>
      <c r="H193" s="14">
        <v>16</v>
      </c>
    </row>
    <row r="194" spans="1:8" ht="15" x14ac:dyDescent="0.25">
      <c r="A194" s="317">
        <v>188</v>
      </c>
      <c r="B194" s="317">
        <f>IF(C194=activestate,IF(D194='Heating Load'!C$2,1,0),0)</f>
        <v>0</v>
      </c>
      <c r="C194" s="12" t="s">
        <v>183</v>
      </c>
      <c r="D194" s="12" t="s">
        <v>512</v>
      </c>
      <c r="E194" s="22">
        <f t="shared" si="5"/>
        <v>7.9047020800000007</v>
      </c>
      <c r="F194" s="22">
        <f t="shared" si="5"/>
        <v>8.1119365600000002</v>
      </c>
      <c r="G194" s="22">
        <f t="shared" si="5"/>
        <v>9.08654896</v>
      </c>
      <c r="H194" s="14">
        <v>22</v>
      </c>
    </row>
    <row r="195" spans="1:8" ht="15" x14ac:dyDescent="0.25">
      <c r="A195" s="317">
        <v>189</v>
      </c>
      <c r="B195" s="317">
        <f>IF(C195=activestate,IF(D195='Heating Load'!C$2,1,0),0)</f>
        <v>0</v>
      </c>
      <c r="C195" s="12" t="s">
        <v>183</v>
      </c>
      <c r="D195" s="12" t="s">
        <v>515</v>
      </c>
      <c r="E195" s="22">
        <f t="shared" si="5"/>
        <v>6.8388812800000007</v>
      </c>
      <c r="F195" s="22">
        <f t="shared" si="5"/>
        <v>7.0097809599999996</v>
      </c>
      <c r="G195" s="22">
        <f t="shared" si="5"/>
        <v>7.8027193600000002</v>
      </c>
      <c r="H195" s="14">
        <v>12</v>
      </c>
    </row>
    <row r="196" spans="1:8" ht="15" x14ac:dyDescent="0.25">
      <c r="A196" s="317">
        <v>190</v>
      </c>
      <c r="B196" s="317">
        <f>IF(C196=activestate,IF(D196='Heating Load'!C$2,1,0),0)</f>
        <v>0</v>
      </c>
      <c r="C196" s="12" t="s">
        <v>183</v>
      </c>
      <c r="D196" s="12" t="s">
        <v>516</v>
      </c>
      <c r="E196" s="22">
        <f t="shared" si="5"/>
        <v>8.8934560000000005</v>
      </c>
      <c r="F196" s="22">
        <f t="shared" si="5"/>
        <v>9.1343979999999991</v>
      </c>
      <c r="G196" s="22">
        <f t="shared" si="5"/>
        <v>10.277547999999999</v>
      </c>
      <c r="H196" s="14">
        <v>30</v>
      </c>
    </row>
    <row r="197" spans="1:8" ht="15" x14ac:dyDescent="0.25">
      <c r="A197" s="317">
        <v>191</v>
      </c>
      <c r="B197" s="317">
        <f>IF(C197=activestate,IF(D197='Heating Load'!C$2,1,0),0)</f>
        <v>0</v>
      </c>
      <c r="C197" s="12" t="s">
        <v>183</v>
      </c>
      <c r="D197" s="12" t="s">
        <v>517</v>
      </c>
      <c r="E197" s="22">
        <f t="shared" si="5"/>
        <v>10.299520000000001</v>
      </c>
      <c r="F197" s="22">
        <f t="shared" si="5"/>
        <v>10.588395999999999</v>
      </c>
      <c r="G197" s="22">
        <f t="shared" si="5"/>
        <v>11.971216</v>
      </c>
      <c r="H197" s="14">
        <v>40</v>
      </c>
    </row>
    <row r="198" spans="1:8" ht="15" x14ac:dyDescent="0.25">
      <c r="A198" s="317">
        <v>192</v>
      </c>
      <c r="B198" s="317">
        <f>IF(C198=activestate,IF(D198='Heating Load'!C$2,1,0),0)</f>
        <v>0</v>
      </c>
      <c r="C198" s="12" t="s">
        <v>183</v>
      </c>
      <c r="D198" s="12" t="s">
        <v>518</v>
      </c>
      <c r="E198" s="22">
        <f t="shared" si="5"/>
        <v>9.7144115200000005</v>
      </c>
      <c r="F198" s="22">
        <f t="shared" si="5"/>
        <v>9.9833406399999998</v>
      </c>
      <c r="G198" s="22">
        <f t="shared" si="5"/>
        <v>11.266426239999999</v>
      </c>
      <c r="H198" s="14">
        <v>36</v>
      </c>
    </row>
    <row r="199" spans="1:8" ht="15" x14ac:dyDescent="0.25">
      <c r="A199" s="317">
        <v>193</v>
      </c>
      <c r="B199" s="317">
        <f>IF(C199=activestate,IF(D199='Heating Load'!C$2,1,0),0)</f>
        <v>0</v>
      </c>
      <c r="C199" s="12" t="s">
        <v>183</v>
      </c>
      <c r="D199" s="12" t="s">
        <v>519</v>
      </c>
      <c r="E199" s="22">
        <f t="shared" si="5"/>
        <v>8.2613080000000014</v>
      </c>
      <c r="F199" s="22">
        <f t="shared" si="5"/>
        <v>8.4806995000000001</v>
      </c>
      <c r="G199" s="22">
        <f t="shared" si="5"/>
        <v>9.5160970000000002</v>
      </c>
      <c r="H199" s="14">
        <v>25</v>
      </c>
    </row>
    <row r="200" spans="1:8" ht="15" x14ac:dyDescent="0.25">
      <c r="A200" s="317">
        <v>194</v>
      </c>
      <c r="B200" s="317">
        <f>IF(C200=activestate,IF(D200='Heating Load'!C$2,1,0),0)</f>
        <v>0</v>
      </c>
      <c r="C200" s="12" t="s">
        <v>183</v>
      </c>
      <c r="D200" s="12" t="s">
        <v>520</v>
      </c>
      <c r="E200" s="22">
        <f t="shared" si="5"/>
        <v>8.1405491200000011</v>
      </c>
      <c r="F200" s="22">
        <f t="shared" si="5"/>
        <v>8.3558238399999993</v>
      </c>
      <c r="G200" s="22">
        <f t="shared" si="5"/>
        <v>9.3706374399999994</v>
      </c>
      <c r="H200" s="14">
        <v>24</v>
      </c>
    </row>
    <row r="201" spans="1:8" ht="15" x14ac:dyDescent="0.25">
      <c r="A201" s="317">
        <v>195</v>
      </c>
      <c r="B201" s="317">
        <f>IF(C201=activestate,IF(D201='Heating Load'!C$2,1,0),0)</f>
        <v>0</v>
      </c>
      <c r="C201" s="12" t="s">
        <v>183</v>
      </c>
      <c r="D201" s="12" t="s">
        <v>521</v>
      </c>
      <c r="E201" s="22">
        <f t="shared" si="5"/>
        <v>9.2272510000000008</v>
      </c>
      <c r="F201" s="22">
        <f t="shared" si="5"/>
        <v>9.4795723750000001</v>
      </c>
      <c r="G201" s="22">
        <f t="shared" si="5"/>
        <v>10.67961925</v>
      </c>
      <c r="H201" s="14">
        <v>32.5</v>
      </c>
    </row>
    <row r="202" spans="1:8" x14ac:dyDescent="0.2">
      <c r="A202" s="317">
        <v>196</v>
      </c>
      <c r="B202" s="317">
        <f>IF(C202=activestate,IF(D202='Heating Load'!C$2,1,0),0)</f>
        <v>0</v>
      </c>
      <c r="C202" s="12" t="s">
        <v>183</v>
      </c>
      <c r="D202" s="12" t="s">
        <v>522</v>
      </c>
      <c r="E202" s="22">
        <f t="shared" si="5"/>
        <v>7.4016910000000005</v>
      </c>
      <c r="F202" s="22">
        <f t="shared" si="5"/>
        <v>7.5917773749999995</v>
      </c>
      <c r="G202" s="22">
        <f t="shared" si="5"/>
        <v>8.480649249999999</v>
      </c>
      <c r="H202" s="373">
        <v>17.5</v>
      </c>
    </row>
    <row r="203" spans="1:8" ht="15" x14ac:dyDescent="0.25">
      <c r="A203" s="317">
        <v>197</v>
      </c>
      <c r="B203" s="317">
        <f>IF(C203=activestate,IF(D203='Heating Load'!C$2,1,0),0)</f>
        <v>0</v>
      </c>
      <c r="C203" s="12" t="s">
        <v>183</v>
      </c>
      <c r="D203" s="12" t="s">
        <v>523</v>
      </c>
      <c r="E203" s="22">
        <f t="shared" si="5"/>
        <v>8.5084964800000016</v>
      </c>
      <c r="F203" s="22">
        <f t="shared" si="5"/>
        <v>8.7363148600000002</v>
      </c>
      <c r="G203" s="22">
        <f t="shared" si="5"/>
        <v>9.8138467600000006</v>
      </c>
      <c r="H203" s="14">
        <v>27</v>
      </c>
    </row>
    <row r="204" spans="1:8" ht="15" x14ac:dyDescent="0.25">
      <c r="A204" s="317">
        <v>198</v>
      </c>
      <c r="B204" s="317">
        <f>IF(C204=activestate,IF(D204='Heating Load'!C$2,1,0),0)</f>
        <v>0</v>
      </c>
      <c r="C204" s="12" t="s">
        <v>183</v>
      </c>
      <c r="D204" s="12" t="s">
        <v>524</v>
      </c>
      <c r="E204" s="22">
        <f t="shared" si="5"/>
        <v>7.9047020800000007</v>
      </c>
      <c r="F204" s="22">
        <f t="shared" si="5"/>
        <v>8.1119365600000002</v>
      </c>
      <c r="G204" s="22">
        <f t="shared" si="5"/>
        <v>9.08654896</v>
      </c>
      <c r="H204" s="14">
        <v>22</v>
      </c>
    </row>
    <row r="205" spans="1:8" ht="15" x14ac:dyDescent="0.25">
      <c r="A205" s="317">
        <v>199</v>
      </c>
      <c r="B205" s="317">
        <f>IF(C205=activestate,IF(D205='Heating Load'!C$2,1,0),0)</f>
        <v>0</v>
      </c>
      <c r="C205" s="12" t="s">
        <v>183</v>
      </c>
      <c r="D205" s="12" t="s">
        <v>525</v>
      </c>
      <c r="E205" s="22">
        <f t="shared" si="5"/>
        <v>8.1405491200000011</v>
      </c>
      <c r="F205" s="22">
        <f t="shared" si="5"/>
        <v>8.3558238399999993</v>
      </c>
      <c r="G205" s="22">
        <f t="shared" si="5"/>
        <v>9.3706374399999994</v>
      </c>
      <c r="H205" s="14">
        <v>24</v>
      </c>
    </row>
    <row r="206" spans="1:8" ht="15" x14ac:dyDescent="0.25">
      <c r="A206" s="317">
        <v>200</v>
      </c>
      <c r="B206" s="317">
        <f>IF(C206=activestate,IF(D206='Heating Load'!C$2,1,0),0)</f>
        <v>0</v>
      </c>
      <c r="C206" s="12" t="s">
        <v>183</v>
      </c>
      <c r="D206" s="12" t="s">
        <v>526</v>
      </c>
      <c r="E206" s="22">
        <f t="shared" si="5"/>
        <v>9.2954276800000013</v>
      </c>
      <c r="F206" s="22">
        <f t="shared" si="5"/>
        <v>9.5500732599999996</v>
      </c>
      <c r="G206" s="22">
        <f t="shared" si="5"/>
        <v>10.76174116</v>
      </c>
      <c r="H206" s="14">
        <v>33</v>
      </c>
    </row>
    <row r="207" spans="1:8" ht="15" x14ac:dyDescent="0.25">
      <c r="A207" s="317">
        <v>201</v>
      </c>
      <c r="B207" s="317">
        <f>IF(C207=activestate,IF(D207='Heating Load'!C$2,1,0),0)</f>
        <v>0</v>
      </c>
      <c r="C207" s="12" t="s">
        <v>183</v>
      </c>
      <c r="D207" s="12" t="s">
        <v>527</v>
      </c>
      <c r="E207" s="22">
        <f t="shared" si="5"/>
        <v>8.3839571199999998</v>
      </c>
      <c r="F207" s="22">
        <f t="shared" si="5"/>
        <v>8.6075298399999998</v>
      </c>
      <c r="G207" s="22">
        <f t="shared" si="5"/>
        <v>9.6638334399999994</v>
      </c>
      <c r="H207" s="14">
        <v>26</v>
      </c>
    </row>
    <row r="208" spans="1:8" ht="15" x14ac:dyDescent="0.25">
      <c r="A208" s="317">
        <v>202</v>
      </c>
      <c r="B208" s="317">
        <f>IF(C208=activestate,IF(D208='Heating Load'!C$2,1,0),0)</f>
        <v>0</v>
      </c>
      <c r="C208" s="12" t="s">
        <v>183</v>
      </c>
      <c r="D208" s="12" t="s">
        <v>528</v>
      </c>
      <c r="E208" s="22">
        <f t="shared" si="5"/>
        <v>7.5651083200000011</v>
      </c>
      <c r="F208" s="22">
        <f t="shared" si="5"/>
        <v>7.7607657400000001</v>
      </c>
      <c r="G208" s="22">
        <f t="shared" si="5"/>
        <v>8.6774928399999993</v>
      </c>
      <c r="H208" s="14">
        <v>19</v>
      </c>
    </row>
    <row r="209" spans="1:8" ht="15" x14ac:dyDescent="0.25">
      <c r="A209" s="317">
        <v>203</v>
      </c>
      <c r="B209" s="317">
        <f>IF(C209=activestate,IF(D209='Heating Load'!C$2,1,0),0)</f>
        <v>1</v>
      </c>
      <c r="C209" s="12" t="s">
        <v>86</v>
      </c>
      <c r="D209" s="12"/>
      <c r="E209" s="22">
        <f t="shared" si="5"/>
        <v>6.7278185050535928</v>
      </c>
      <c r="F209" s="22">
        <f t="shared" si="5"/>
        <v>6.8949319540895111</v>
      </c>
      <c r="G209" s="22">
        <f t="shared" si="5"/>
        <v>7.6689391992691007</v>
      </c>
      <c r="H209" s="28">
        <v>10.843552631578946</v>
      </c>
    </row>
    <row r="210" spans="1:8" ht="15" x14ac:dyDescent="0.25">
      <c r="A210" s="317">
        <v>204</v>
      </c>
      <c r="B210" s="317">
        <f>IF(C210=activestate,IF(D210='Heating Load'!C$2,1,0),0)</f>
        <v>0</v>
      </c>
      <c r="C210" s="12" t="s">
        <v>185</v>
      </c>
      <c r="D210" s="12" t="s">
        <v>529</v>
      </c>
      <c r="E210" s="22">
        <f t="shared" si="5"/>
        <v>6.4654796799999996</v>
      </c>
      <c r="F210" s="22">
        <f t="shared" si="5"/>
        <v>6.6236497599999993</v>
      </c>
      <c r="G210" s="22">
        <f t="shared" si="5"/>
        <v>7.3529401599999993</v>
      </c>
      <c r="H210" s="14">
        <v>8</v>
      </c>
    </row>
    <row r="211" spans="1:8" ht="15" x14ac:dyDescent="0.25">
      <c r="A211" s="317">
        <v>205</v>
      </c>
      <c r="B211" s="317">
        <f>IF(C211=activestate,IF(D211='Heating Load'!C$2,1,0),0)</f>
        <v>0</v>
      </c>
      <c r="C211" s="12" t="s">
        <v>185</v>
      </c>
      <c r="D211" s="12" t="s">
        <v>530</v>
      </c>
      <c r="E211" s="22">
        <f t="shared" si="5"/>
        <v>6.7426955199999998</v>
      </c>
      <c r="F211" s="22">
        <f t="shared" si="5"/>
        <v>6.9103161399999999</v>
      </c>
      <c r="G211" s="22">
        <f t="shared" si="5"/>
        <v>7.6868592400000004</v>
      </c>
      <c r="H211" s="14">
        <v>11</v>
      </c>
    </row>
    <row r="212" spans="1:8" ht="15" x14ac:dyDescent="0.25">
      <c r="A212" s="317">
        <v>206</v>
      </c>
      <c r="B212" s="317">
        <f>IF(C212=activestate,IF(D212='Heating Load'!C$2,1,0),0)</f>
        <v>0</v>
      </c>
      <c r="C212" s="12" t="s">
        <v>187</v>
      </c>
      <c r="D212" s="12" t="s">
        <v>531</v>
      </c>
      <c r="E212" s="22">
        <f t="shared" si="5"/>
        <v>7.3481636800000008</v>
      </c>
      <c r="F212" s="22">
        <f t="shared" si="5"/>
        <v>7.5364252599999997</v>
      </c>
      <c r="G212" s="22">
        <f t="shared" si="5"/>
        <v>8.4161731599999996</v>
      </c>
      <c r="H212" s="14">
        <v>17</v>
      </c>
    </row>
    <row r="213" spans="1:8" ht="15" x14ac:dyDescent="0.25">
      <c r="A213" s="317">
        <v>207</v>
      </c>
      <c r="B213" s="317">
        <f>IF(C213=activestate,IF(D213='Heating Load'!C$2,1,0),0)</f>
        <v>0</v>
      </c>
      <c r="C213" s="12" t="s">
        <v>187</v>
      </c>
      <c r="D213" s="12" t="s">
        <v>452</v>
      </c>
      <c r="E213" s="22">
        <f t="shared" si="5"/>
        <v>8.1405491200000011</v>
      </c>
      <c r="F213" s="22">
        <f t="shared" si="5"/>
        <v>8.3558238399999993</v>
      </c>
      <c r="G213" s="22">
        <f t="shared" si="5"/>
        <v>9.3706374399999994</v>
      </c>
      <c r="H213" s="14">
        <v>24</v>
      </c>
    </row>
    <row r="214" spans="1:8" ht="15" x14ac:dyDescent="0.25">
      <c r="A214" s="317">
        <v>208</v>
      </c>
      <c r="B214" s="317">
        <f>IF(C214=activestate,IF(D214='Heating Load'!C$2,1,0),0)</f>
        <v>0</v>
      </c>
      <c r="C214" s="12" t="s">
        <v>187</v>
      </c>
      <c r="D214" s="12" t="s">
        <v>532</v>
      </c>
      <c r="E214" s="22">
        <f t="shared" si="5"/>
        <v>7.4556908800000006</v>
      </c>
      <c r="F214" s="22">
        <f t="shared" si="5"/>
        <v>7.6476181600000004</v>
      </c>
      <c r="G214" s="22">
        <f t="shared" si="5"/>
        <v>8.5456945599999994</v>
      </c>
      <c r="H214" s="14">
        <v>18</v>
      </c>
    </row>
    <row r="215" spans="1:8" x14ac:dyDescent="0.2">
      <c r="A215" s="317">
        <v>209</v>
      </c>
      <c r="B215" s="317">
        <f>IF(C215=activestate,IF(D215='Heating Load'!C$2,1,0),0)</f>
        <v>0</v>
      </c>
      <c r="C215" s="12" t="s">
        <v>187</v>
      </c>
      <c r="D215" s="12" t="s">
        <v>533</v>
      </c>
      <c r="E215" s="22">
        <f t="shared" si="5"/>
        <v>7.3481636800000008</v>
      </c>
      <c r="F215" s="22">
        <f t="shared" si="5"/>
        <v>7.5364252599999997</v>
      </c>
      <c r="G215" s="22">
        <f t="shared" si="5"/>
        <v>8.4161731599999996</v>
      </c>
      <c r="H215" s="373">
        <v>17</v>
      </c>
    </row>
    <row r="216" spans="1:8" ht="15" x14ac:dyDescent="0.25">
      <c r="A216" s="317">
        <v>210</v>
      </c>
      <c r="B216" s="317">
        <f>IF(C216=activestate,IF(D216='Heating Load'!C$2,1,0),0)</f>
        <v>0</v>
      </c>
      <c r="C216" s="12" t="s">
        <v>187</v>
      </c>
      <c r="D216" s="12" t="s">
        <v>534</v>
      </c>
      <c r="E216" s="22">
        <f t="shared" si="5"/>
        <v>7.0369235200000002</v>
      </c>
      <c r="F216" s="22">
        <f t="shared" si="5"/>
        <v>7.2145746400000004</v>
      </c>
      <c r="G216" s="22">
        <f t="shared" si="5"/>
        <v>8.0412702399999993</v>
      </c>
      <c r="H216" s="14">
        <v>14</v>
      </c>
    </row>
    <row r="217" spans="1:8" ht="15" x14ac:dyDescent="0.25">
      <c r="A217" s="317">
        <v>211</v>
      </c>
      <c r="B217" s="317">
        <f>IF(C217=activestate,IF(D217='Heating Load'!C$2,1,0),0)</f>
        <v>0</v>
      </c>
      <c r="C217" s="12" t="s">
        <v>189</v>
      </c>
      <c r="D217" s="12" t="s">
        <v>535</v>
      </c>
      <c r="E217" s="22">
        <f t="shared" ref="E217:G238" si="6">+E$6-(E$6*((0.1392+(-0.00846*$H217)+(-0.0001074*$H217^2)+(0.0228*E$6))))</f>
        <v>5.3967443199999998</v>
      </c>
      <c r="F217" s="22">
        <f t="shared" si="6"/>
        <v>5.5184802400000006</v>
      </c>
      <c r="G217" s="22">
        <f t="shared" si="6"/>
        <v>6.06559984</v>
      </c>
      <c r="H217" s="14">
        <v>-6</v>
      </c>
    </row>
    <row r="218" spans="1:8" ht="15" x14ac:dyDescent="0.25">
      <c r="A218" s="317">
        <v>212</v>
      </c>
      <c r="B218" s="317">
        <f>IF(C218=activestate,IF(D218='Heating Load'!C$2,1,0),0)</f>
        <v>0</v>
      </c>
      <c r="C218" s="12" t="s">
        <v>191</v>
      </c>
      <c r="D218" s="12" t="s">
        <v>536</v>
      </c>
      <c r="E218" s="22">
        <f t="shared" si="6"/>
        <v>8.0216804800000006</v>
      </c>
      <c r="F218" s="22">
        <f t="shared" si="6"/>
        <v>8.2329028599999994</v>
      </c>
      <c r="G218" s="22">
        <f t="shared" si="6"/>
        <v>9.2274547600000005</v>
      </c>
      <c r="H218" s="14">
        <v>23</v>
      </c>
    </row>
    <row r="219" spans="1:8" ht="15" x14ac:dyDescent="0.25">
      <c r="A219" s="317">
        <v>213</v>
      </c>
      <c r="B219" s="317">
        <f>IF(C219=activestate,IF(D219='Heating Load'!C$2,1,0),0)</f>
        <v>0</v>
      </c>
      <c r="C219" s="12" t="s">
        <v>191</v>
      </c>
      <c r="D219" s="12" t="s">
        <v>537</v>
      </c>
      <c r="E219" s="22">
        <f t="shared" si="6"/>
        <v>8.5084964800000016</v>
      </c>
      <c r="F219" s="22">
        <f t="shared" si="6"/>
        <v>8.7363148600000002</v>
      </c>
      <c r="G219" s="22">
        <f t="shared" si="6"/>
        <v>9.8138467600000006</v>
      </c>
      <c r="H219" s="14">
        <v>27</v>
      </c>
    </row>
    <row r="220" spans="1:8" ht="15" x14ac:dyDescent="0.25">
      <c r="A220" s="317">
        <v>214</v>
      </c>
      <c r="B220" s="317">
        <f>IF(C220=activestate,IF(D220='Heating Load'!C$2,1,0),0)</f>
        <v>0</v>
      </c>
      <c r="C220" s="12" t="s">
        <v>191</v>
      </c>
      <c r="D220" s="12" t="s">
        <v>538</v>
      </c>
      <c r="E220" s="22">
        <f t="shared" si="6"/>
        <v>8.6349260800000014</v>
      </c>
      <c r="F220" s="22">
        <f t="shared" si="6"/>
        <v>8.8670545599999997</v>
      </c>
      <c r="G220" s="22">
        <f t="shared" si="6"/>
        <v>9.96613696</v>
      </c>
      <c r="H220" s="14">
        <v>28</v>
      </c>
    </row>
    <row r="221" spans="1:8" ht="15" x14ac:dyDescent="0.25">
      <c r="A221" s="317">
        <v>215</v>
      </c>
      <c r="B221" s="317">
        <f>IF(C221=activestate,IF(D221='Heating Load'!C$2,1,0),0)</f>
        <v>0</v>
      </c>
      <c r="C221" s="12" t="s">
        <v>191</v>
      </c>
      <c r="D221" s="12" t="s">
        <v>539</v>
      </c>
      <c r="E221" s="22">
        <f t="shared" si="6"/>
        <v>6.3768548800000007</v>
      </c>
      <c r="F221" s="22">
        <f t="shared" si="6"/>
        <v>6.53200366</v>
      </c>
      <c r="G221" s="22">
        <f t="shared" si="6"/>
        <v>7.2461875599999992</v>
      </c>
      <c r="H221" s="14">
        <v>7</v>
      </c>
    </row>
    <row r="222" spans="1:8" ht="15" x14ac:dyDescent="0.25">
      <c r="A222" s="317">
        <v>216</v>
      </c>
      <c r="B222" s="317">
        <f>IF(C222=activestate,IF(D222='Heating Load'!C$2,1,0),0)</f>
        <v>0</v>
      </c>
      <c r="C222" s="12" t="s">
        <v>191</v>
      </c>
      <c r="D222" s="12" t="s">
        <v>540</v>
      </c>
      <c r="E222" s="22">
        <f t="shared" si="6"/>
        <v>6.7426955199999998</v>
      </c>
      <c r="F222" s="22">
        <f t="shared" si="6"/>
        <v>6.9103161399999999</v>
      </c>
      <c r="G222" s="22">
        <f t="shared" si="6"/>
        <v>7.6868592400000004</v>
      </c>
      <c r="H222" s="14">
        <v>11</v>
      </c>
    </row>
    <row r="223" spans="1:8" ht="15" x14ac:dyDescent="0.25">
      <c r="A223" s="317">
        <v>217</v>
      </c>
      <c r="B223" s="317">
        <f>IF(C223=activestate,IF(D223='Heating Load'!C$2,1,0),0)</f>
        <v>0</v>
      </c>
      <c r="C223" s="12" t="s">
        <v>193</v>
      </c>
      <c r="D223" s="12" t="s">
        <v>541</v>
      </c>
      <c r="E223" s="22">
        <f t="shared" si="6"/>
        <v>5.0013092800000001</v>
      </c>
      <c r="F223" s="22">
        <f t="shared" si="6"/>
        <v>5.1095644599999996</v>
      </c>
      <c r="G223" s="22">
        <f t="shared" si="6"/>
        <v>5.5892803599999992</v>
      </c>
      <c r="H223" s="14">
        <v>-13</v>
      </c>
    </row>
    <row r="224" spans="1:8" ht="15" x14ac:dyDescent="0.25">
      <c r="A224" s="317">
        <v>218</v>
      </c>
      <c r="B224" s="317">
        <f>IF(C224=activestate,IF(D224='Heating Load'!C$2,1,0),0)</f>
        <v>0</v>
      </c>
      <c r="C224" s="12" t="s">
        <v>193</v>
      </c>
      <c r="D224" s="12" t="s">
        <v>542</v>
      </c>
      <c r="E224" s="22">
        <f t="shared" si="6"/>
        <v>5.2743116800000003</v>
      </c>
      <c r="F224" s="22">
        <f t="shared" si="6"/>
        <v>5.3918737599999993</v>
      </c>
      <c r="G224" s="22">
        <f t="shared" si="6"/>
        <v>5.9181241599999996</v>
      </c>
      <c r="H224" s="14">
        <v>-8</v>
      </c>
    </row>
    <row r="225" spans="1:9" ht="15" x14ac:dyDescent="0.25">
      <c r="A225" s="317">
        <v>219</v>
      </c>
      <c r="B225" s="317">
        <f>IF(C225=activestate,IF(D225='Heating Load'!C$2,1,0),0)</f>
        <v>0</v>
      </c>
      <c r="C225" s="12" t="s">
        <v>193</v>
      </c>
      <c r="D225" s="12" t="s">
        <v>545</v>
      </c>
      <c r="E225" s="22">
        <f t="shared" si="6"/>
        <v>5.2743116800000003</v>
      </c>
      <c r="F225" s="22">
        <f t="shared" si="6"/>
        <v>5.3918737599999993</v>
      </c>
      <c r="G225" s="22">
        <f t="shared" si="6"/>
        <v>5.9181241599999996</v>
      </c>
      <c r="H225" s="14">
        <v>-8</v>
      </c>
    </row>
    <row r="226" spans="1:9" ht="15" x14ac:dyDescent="0.25">
      <c r="A226" s="317">
        <v>220</v>
      </c>
      <c r="B226" s="317">
        <f>IF(C226=activestate,IF(D226='Heating Load'!C$2,1,0),0)</f>
        <v>0</v>
      </c>
      <c r="C226" s="12" t="s">
        <v>193</v>
      </c>
      <c r="D226" s="12" t="s">
        <v>546</v>
      </c>
      <c r="E226" s="22">
        <f t="shared" si="6"/>
        <v>5.3967443199999998</v>
      </c>
      <c r="F226" s="22">
        <f t="shared" si="6"/>
        <v>5.5184802400000006</v>
      </c>
      <c r="G226" s="22">
        <f t="shared" si="6"/>
        <v>6.06559984</v>
      </c>
      <c r="H226" s="14">
        <v>-6</v>
      </c>
    </row>
    <row r="227" spans="1:9" ht="15" x14ac:dyDescent="0.25">
      <c r="A227" s="317">
        <v>221</v>
      </c>
      <c r="B227" s="317">
        <f>IF(C227=activestate,IF(D227='Heating Load'!C$2,1,0),0)</f>
        <v>0</v>
      </c>
      <c r="C227" s="12" t="s">
        <v>193</v>
      </c>
      <c r="D227" s="12" t="s">
        <v>547</v>
      </c>
      <c r="E227" s="22">
        <f t="shared" si="6"/>
        <v>5.6642924800000003</v>
      </c>
      <c r="F227" s="22">
        <f t="shared" si="6"/>
        <v>5.7951493599999999</v>
      </c>
      <c r="G227" s="22">
        <f t="shared" si="6"/>
        <v>6.3878737599999997</v>
      </c>
      <c r="H227" s="14">
        <v>-2</v>
      </c>
    </row>
    <row r="228" spans="1:9" ht="15" x14ac:dyDescent="0.25">
      <c r="A228" s="317">
        <v>222</v>
      </c>
      <c r="B228" s="317">
        <f>IF(C228=activestate,IF(D228='Heating Load'!C$2,1,0),0)</f>
        <v>0</v>
      </c>
      <c r="C228" s="12" t="s">
        <v>195</v>
      </c>
      <c r="D228" s="12" t="s">
        <v>501</v>
      </c>
      <c r="E228" s="22">
        <f t="shared" si="6"/>
        <v>6.7426955199999998</v>
      </c>
      <c r="F228" s="22">
        <f t="shared" si="6"/>
        <v>6.9103161399999999</v>
      </c>
      <c r="G228" s="22">
        <f t="shared" si="6"/>
        <v>7.6868592400000004</v>
      </c>
      <c r="H228" s="14">
        <v>11</v>
      </c>
    </row>
    <row r="229" spans="1:9" ht="15" x14ac:dyDescent="0.25">
      <c r="A229" s="317">
        <v>223</v>
      </c>
      <c r="B229" s="317">
        <f>IF(C229=activestate,IF(D229='Heating Load'!C$2,1,0),0)</f>
        <v>0</v>
      </c>
      <c r="C229" s="12" t="s">
        <v>195</v>
      </c>
      <c r="D229" s="12" t="s">
        <v>548</v>
      </c>
      <c r="E229" s="22">
        <f t="shared" si="6"/>
        <v>6.2052760000000013</v>
      </c>
      <c r="F229" s="22">
        <f t="shared" si="6"/>
        <v>6.3545754999999993</v>
      </c>
      <c r="G229" s="22">
        <f t="shared" si="6"/>
        <v>7.0395129999999995</v>
      </c>
      <c r="H229" s="14">
        <v>5</v>
      </c>
    </row>
    <row r="230" spans="1:9" ht="15" x14ac:dyDescent="0.25">
      <c r="A230" s="317">
        <v>224</v>
      </c>
      <c r="B230" s="317">
        <f>IF(C230=activestate,IF(D230='Heating Load'!C$2,1,0),0)</f>
        <v>0</v>
      </c>
      <c r="C230" s="12" t="s">
        <v>195</v>
      </c>
      <c r="D230" s="12" t="s">
        <v>549</v>
      </c>
      <c r="E230" s="22">
        <f t="shared" si="6"/>
        <v>6.7426955199999998</v>
      </c>
      <c r="F230" s="22">
        <f t="shared" si="6"/>
        <v>6.9103161399999999</v>
      </c>
      <c r="G230" s="22">
        <f t="shared" si="6"/>
        <v>7.6868592400000004</v>
      </c>
      <c r="H230" s="14">
        <v>11</v>
      </c>
    </row>
    <row r="231" spans="1:9" ht="15" x14ac:dyDescent="0.25">
      <c r="A231" s="317">
        <v>225</v>
      </c>
      <c r="B231" s="317">
        <f>IF(C231=activestate,IF(D231='Heating Load'!C$2,1,0),0)</f>
        <v>0</v>
      </c>
      <c r="C231" s="12" t="s">
        <v>197</v>
      </c>
      <c r="D231" s="12" t="s">
        <v>550</v>
      </c>
      <c r="E231" s="22">
        <f t="shared" si="6"/>
        <v>5.4607960000000002</v>
      </c>
      <c r="F231" s="22">
        <f t="shared" si="6"/>
        <v>5.5847154999999997</v>
      </c>
      <c r="G231" s="22">
        <f t="shared" si="6"/>
        <v>6.1427529999999999</v>
      </c>
      <c r="H231" s="14">
        <v>-5</v>
      </c>
    </row>
    <row r="232" spans="1:9" ht="15" x14ac:dyDescent="0.25">
      <c r="A232" s="317">
        <v>226</v>
      </c>
      <c r="B232" s="317">
        <f>IF(C232=activestate,IF(D232='Heating Load'!C$2,1,0),0)</f>
        <v>0</v>
      </c>
      <c r="C232" s="12" t="s">
        <v>197</v>
      </c>
      <c r="D232" s="12" t="s">
        <v>551</v>
      </c>
      <c r="E232" s="22">
        <f t="shared" si="6"/>
        <v>5.8094080000000003</v>
      </c>
      <c r="F232" s="22">
        <f t="shared" si="6"/>
        <v>5.9452119999999997</v>
      </c>
      <c r="G232" s="22">
        <f t="shared" si="6"/>
        <v>6.5626720000000001</v>
      </c>
      <c r="H232" s="14">
        <v>0</v>
      </c>
    </row>
    <row r="233" spans="1:9" ht="15" x14ac:dyDescent="0.25">
      <c r="A233" s="317">
        <v>227</v>
      </c>
      <c r="B233" s="317">
        <f>IF(C233=activestate,IF(D233='Heating Load'!C$2,1,0),0)</f>
        <v>0</v>
      </c>
      <c r="C233" s="12" t="s">
        <v>197</v>
      </c>
      <c r="D233" s="12" t="s">
        <v>552</v>
      </c>
      <c r="E233" s="22">
        <f t="shared" si="6"/>
        <v>5.334582880000001</v>
      </c>
      <c r="F233" s="22">
        <f t="shared" si="6"/>
        <v>5.4541996600000004</v>
      </c>
      <c r="G233" s="22">
        <f t="shared" si="6"/>
        <v>5.9907235600000002</v>
      </c>
      <c r="H233" s="14">
        <v>-7</v>
      </c>
    </row>
    <row r="234" spans="1:9" ht="15" x14ac:dyDescent="0.25">
      <c r="A234" s="317">
        <v>228</v>
      </c>
      <c r="B234" s="317">
        <f>IF(C234=activestate,IF(D234='Heating Load'!C$2,1,0),0)</f>
        <v>0</v>
      </c>
      <c r="C234" s="12" t="s">
        <v>197</v>
      </c>
      <c r="D234" s="12" t="s">
        <v>553</v>
      </c>
      <c r="E234" s="22">
        <f t="shared" si="6"/>
        <v>5.6642924800000003</v>
      </c>
      <c r="F234" s="22">
        <f t="shared" si="6"/>
        <v>5.7951493599999999</v>
      </c>
      <c r="G234" s="22">
        <f t="shared" si="6"/>
        <v>6.3878737599999997</v>
      </c>
      <c r="H234" s="14">
        <v>-2</v>
      </c>
    </row>
    <row r="235" spans="1:9" ht="15" x14ac:dyDescent="0.25">
      <c r="A235" s="317">
        <v>229</v>
      </c>
      <c r="B235" s="317">
        <f>IF(C235=activestate,IF(D235='Heating Load'!C$2,1,0),0)</f>
        <v>0</v>
      </c>
      <c r="C235" s="12" t="s">
        <v>197</v>
      </c>
      <c r="D235" s="12" t="s">
        <v>554</v>
      </c>
      <c r="E235" s="22">
        <f t="shared" si="6"/>
        <v>5.2743116800000003</v>
      </c>
      <c r="F235" s="22">
        <f t="shared" si="6"/>
        <v>5.3918737599999993</v>
      </c>
      <c r="G235" s="22">
        <f t="shared" si="6"/>
        <v>5.9181241599999996</v>
      </c>
      <c r="H235" s="14">
        <v>-8</v>
      </c>
    </row>
    <row r="236" spans="1:9" ht="15" x14ac:dyDescent="0.25">
      <c r="A236" s="317">
        <v>230</v>
      </c>
      <c r="B236" s="317">
        <f>IF(C236=activestate,IF(D236='Heating Load'!C$2,1,0),0)</f>
        <v>0</v>
      </c>
      <c r="C236" s="317" t="s">
        <v>201</v>
      </c>
      <c r="E236" s="22">
        <f t="shared" si="6"/>
        <v>5.334582880000001</v>
      </c>
      <c r="F236" s="22">
        <f t="shared" si="6"/>
        <v>5.4541996600000004</v>
      </c>
      <c r="G236" s="22">
        <f t="shared" si="6"/>
        <v>5.9907235600000002</v>
      </c>
      <c r="H236" s="14">
        <v>-7</v>
      </c>
      <c r="I236" s="317" t="s">
        <v>569</v>
      </c>
    </row>
    <row r="237" spans="1:9" ht="15" x14ac:dyDescent="0.25">
      <c r="A237" s="317">
        <v>231</v>
      </c>
      <c r="B237" s="317">
        <f>IF(C237=activestate,IF(D237='Heating Load'!C$2,1,0),0)</f>
        <v>0</v>
      </c>
      <c r="C237" s="317" t="s">
        <v>203</v>
      </c>
      <c r="E237" s="22">
        <f t="shared" si="6"/>
        <v>8.6349260800000014</v>
      </c>
      <c r="F237" s="22">
        <f t="shared" si="6"/>
        <v>8.8670545599999997</v>
      </c>
      <c r="G237" s="22">
        <f t="shared" si="6"/>
        <v>9.96613696</v>
      </c>
      <c r="H237" s="14">
        <v>28</v>
      </c>
      <c r="I237" s="317" t="s">
        <v>570</v>
      </c>
    </row>
    <row r="238" spans="1:9" ht="15" x14ac:dyDescent="0.25">
      <c r="A238" s="317">
        <v>232</v>
      </c>
      <c r="B238" s="317">
        <f>IF(C238=activestate,IF(D238='Heating Load'!C$2,1,0),0)</f>
        <v>0</v>
      </c>
      <c r="C238" s="317" t="s">
        <v>205</v>
      </c>
      <c r="E238" s="22">
        <f t="shared" si="6"/>
        <v>5.2743116800000003</v>
      </c>
      <c r="F238" s="22">
        <f t="shared" si="6"/>
        <v>5.3918737599999993</v>
      </c>
      <c r="G238" s="22">
        <f t="shared" si="6"/>
        <v>5.9181241599999996</v>
      </c>
      <c r="H238" s="14">
        <v>-8</v>
      </c>
      <c r="I238" s="317" t="s">
        <v>571</v>
      </c>
    </row>
    <row r="239" spans="1:9" ht="15" x14ac:dyDescent="0.25">
      <c r="A239" s="317">
        <v>233</v>
      </c>
      <c r="B239" s="317">
        <f>IF(C239=activestate,IF(D239='Heating Load'!C$2,1,0),0)</f>
        <v>0</v>
      </c>
      <c r="C239" s="317" t="s">
        <v>207</v>
      </c>
      <c r="E239" s="22">
        <f t="shared" ref="E239:G240" si="7">+E$6-(E$6*((0.1392+(-0.00846*$H239)+(-0.0001074*$H239^2)+(0.0228*E$6))))</f>
        <v>5.9620844800000006</v>
      </c>
      <c r="F239" s="22">
        <f t="shared" si="7"/>
        <v>6.1030933599999999</v>
      </c>
      <c r="G239" s="22">
        <f t="shared" si="7"/>
        <v>6.7465777600000001</v>
      </c>
      <c r="H239" s="14">
        <v>2</v>
      </c>
      <c r="I239" s="317" t="s">
        <v>572</v>
      </c>
    </row>
    <row r="240" spans="1:9" x14ac:dyDescent="0.2">
      <c r="A240" s="317">
        <v>234</v>
      </c>
      <c r="B240" s="317">
        <f>IF(C240=activestate,IF(D240='Heating Load'!C$2,1,0),0)</f>
        <v>0</v>
      </c>
      <c r="C240" s="317" t="s">
        <v>209</v>
      </c>
      <c r="E240" s="22">
        <f t="shared" si="7"/>
        <v>5.15944</v>
      </c>
      <c r="F240" s="22">
        <f t="shared" si="7"/>
        <v>5.2730859999999993</v>
      </c>
      <c r="G240" s="22">
        <f t="shared" si="7"/>
        <v>5.7797559999999999</v>
      </c>
      <c r="H240" s="373">
        <v>-10</v>
      </c>
      <c r="I240" s="317" t="s">
        <v>573</v>
      </c>
    </row>
    <row r="241" spans="1:9" ht="15" x14ac:dyDescent="0.25">
      <c r="A241" s="317">
        <v>235</v>
      </c>
      <c r="B241" s="317">
        <f>IF(C241=activestate,IF(D241='Heating Load'!C$2,1,0),0)</f>
        <v>0</v>
      </c>
      <c r="C241" s="317" t="s">
        <v>211</v>
      </c>
      <c r="E241" s="22">
        <f t="shared" ref="E241:G242" si="8">+E$6-(E$6*((0.1392+(-0.00846*$H241)+(-0.0001074*$H241^2)+(0.0228*E$6))))</f>
        <v>5.9620844800000006</v>
      </c>
      <c r="F241" s="22">
        <f t="shared" si="8"/>
        <v>6.1030933599999999</v>
      </c>
      <c r="G241" s="22">
        <f t="shared" si="8"/>
        <v>6.7465777600000001</v>
      </c>
      <c r="H241" s="14">
        <v>2</v>
      </c>
      <c r="I241" s="317" t="s">
        <v>572</v>
      </c>
    </row>
    <row r="242" spans="1:9" ht="15" x14ac:dyDescent="0.25">
      <c r="A242" s="317">
        <v>236</v>
      </c>
      <c r="B242" s="317">
        <f>IF(C242=activestate,IF(D242='Heating Load'!C$2,1,0),0)</f>
        <v>0</v>
      </c>
      <c r="C242" s="317" t="s">
        <v>213</v>
      </c>
      <c r="E242" s="22">
        <f t="shared" si="8"/>
        <v>5.9620844800000006</v>
      </c>
      <c r="F242" s="22">
        <f t="shared" si="8"/>
        <v>6.1030933599999999</v>
      </c>
      <c r="G242" s="22">
        <f t="shared" si="8"/>
        <v>6.7465777600000001</v>
      </c>
      <c r="H242" s="14">
        <v>2</v>
      </c>
      <c r="I242" s="317" t="s">
        <v>574</v>
      </c>
    </row>
    <row r="243" spans="1:9" ht="15" x14ac:dyDescent="0.25">
      <c r="A243" s="317">
        <v>237</v>
      </c>
      <c r="B243" s="317">
        <f>IF(C243=activestate,IF(D243='Heating Load'!C$2,1,0),0)</f>
        <v>0</v>
      </c>
      <c r="C243" s="317" t="s">
        <v>215</v>
      </c>
      <c r="E243" s="22">
        <f t="shared" ref="E243:G245" si="9">+E$6-(E$6*((0.1392+(-0.00846*$H243)+(-0.0001074*$H243^2)+(0.0228*E$6))))</f>
        <v>5.9620844800000006</v>
      </c>
      <c r="F243" s="22">
        <f t="shared" si="9"/>
        <v>6.1030933599999999</v>
      </c>
      <c r="G243" s="22">
        <f t="shared" si="9"/>
        <v>6.7465777600000001</v>
      </c>
      <c r="H243" s="14">
        <v>2</v>
      </c>
      <c r="I243" s="317" t="s">
        <v>572</v>
      </c>
    </row>
    <row r="244" spans="1:9" ht="15" x14ac:dyDescent="0.25">
      <c r="A244" s="317">
        <v>238</v>
      </c>
      <c r="B244" s="317">
        <f>IF(C244=activestate,IF(D244='Heating Load'!C$2,1,0),0)</f>
        <v>0</v>
      </c>
      <c r="C244" s="317" t="s">
        <v>217</v>
      </c>
      <c r="E244" s="22">
        <f t="shared" si="9"/>
        <v>5.9620844800000006</v>
      </c>
      <c r="F244" s="22">
        <f t="shared" si="9"/>
        <v>6.1030933599999999</v>
      </c>
      <c r="G244" s="22">
        <f t="shared" si="9"/>
        <v>6.7465777600000001</v>
      </c>
      <c r="H244" s="14">
        <v>2</v>
      </c>
      <c r="I244" s="317" t="s">
        <v>572</v>
      </c>
    </row>
    <row r="245" spans="1:9" ht="15" x14ac:dyDescent="0.25">
      <c r="A245" s="317">
        <v>239</v>
      </c>
      <c r="B245" s="317">
        <f>IF(C245=activestate,IF(D245='Heating Load'!C$2,1,0),0)</f>
        <v>0</v>
      </c>
      <c r="C245" s="317" t="s">
        <v>219</v>
      </c>
      <c r="E245" s="22">
        <f t="shared" si="9"/>
        <v>4.8169316799999997</v>
      </c>
      <c r="F245" s="22">
        <f t="shared" si="9"/>
        <v>4.9189012599999993</v>
      </c>
      <c r="G245" s="22">
        <f t="shared" si="9"/>
        <v>5.3671891599999997</v>
      </c>
      <c r="H245" s="14">
        <v>-17</v>
      </c>
      <c r="I245" s="317" t="s">
        <v>575</v>
      </c>
    </row>
    <row r="246" spans="1:9" ht="15" x14ac:dyDescent="0.25">
      <c r="A246" s="317">
        <v>240</v>
      </c>
      <c r="B246" s="317">
        <f>IF(C246=activestate,IF(D246='Heating Load'!C$2,1,0),0)</f>
        <v>0</v>
      </c>
      <c r="C246" t="s">
        <v>199</v>
      </c>
      <c r="E246" s="23">
        <v>5.9</v>
      </c>
      <c r="F246" s="23">
        <v>6.2</v>
      </c>
      <c r="G246" s="23">
        <v>6.4</v>
      </c>
      <c r="H246" s="14">
        <v>-0.4</v>
      </c>
    </row>
  </sheetData>
  <mergeCells count="2">
    <mergeCell ref="E4:G4"/>
    <mergeCell ref="E5:G5"/>
  </mergeCells>
  <phoneticPr fontId="23" type="noConversion"/>
  <pageMargins left="0.75" right="0.75" top="1" bottom="1" header="0.5" footer="0.5"/>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D8B741-5785-4EA2-83EC-D2B8CD80CDC1}">
  <sheetPr codeName="Sheet3"/>
  <dimension ref="A1:AM53"/>
  <sheetViews>
    <sheetView workbookViewId="0">
      <selection activeCell="F52" sqref="F52"/>
    </sheetView>
  </sheetViews>
  <sheetFormatPr defaultColWidth="9.140625" defaultRowHeight="12.75" x14ac:dyDescent="0.2"/>
  <cols>
    <col min="1" max="1" width="14.42578125" style="3" customWidth="1"/>
    <col min="2" max="2" width="17.85546875" style="3" customWidth="1"/>
    <col min="3" max="3" width="12.42578125" style="3" customWidth="1"/>
    <col min="4" max="4" width="21.42578125" style="3" customWidth="1"/>
    <col min="5" max="5" width="18.28515625" style="3" customWidth="1"/>
    <col min="6" max="7" width="10.7109375" style="3" customWidth="1"/>
    <col min="8" max="8" width="11.28515625" style="3" customWidth="1"/>
    <col min="9" max="9" width="11.85546875" style="3" customWidth="1"/>
    <col min="10" max="10" width="11.28515625" style="3" customWidth="1"/>
    <col min="11" max="14" width="11" style="3" customWidth="1"/>
    <col min="15" max="16" width="10.28515625" style="3" customWidth="1"/>
    <col min="17" max="17" width="9.28515625" style="3" customWidth="1"/>
    <col min="18" max="19" width="10.28515625" style="3" customWidth="1"/>
    <col min="20" max="23" width="9.28515625" style="3" customWidth="1"/>
    <col min="24" max="24" width="10.28515625" style="3" customWidth="1"/>
    <col min="25" max="27" width="9.28515625" style="3" customWidth="1"/>
    <col min="28" max="28" width="10.28515625" style="3" customWidth="1"/>
    <col min="29" max="33" width="9.28515625" style="3" customWidth="1"/>
    <col min="34" max="39" width="9.140625" style="3"/>
    <col min="40" max="16384" width="9.140625" style="4"/>
  </cols>
  <sheetData>
    <row r="1" spans="1:39" x14ac:dyDescent="0.2">
      <c r="A1" s="2" t="s">
        <v>584</v>
      </c>
      <c r="B1" s="2"/>
      <c r="C1" s="317"/>
      <c r="D1" s="317"/>
      <c r="E1" s="317"/>
      <c r="F1" s="317"/>
      <c r="G1" s="317"/>
      <c r="H1" s="317"/>
      <c r="I1" s="317"/>
      <c r="J1" s="317"/>
      <c r="K1" s="317"/>
      <c r="L1" s="317"/>
      <c r="M1" s="317"/>
      <c r="N1" s="317"/>
      <c r="O1" s="317"/>
      <c r="P1" s="317"/>
      <c r="Q1" s="317"/>
      <c r="R1" s="317"/>
      <c r="S1" s="317"/>
      <c r="T1" s="317"/>
      <c r="U1" s="317"/>
      <c r="V1" s="317"/>
      <c r="W1" s="317"/>
      <c r="X1" s="317"/>
      <c r="Y1" s="317"/>
      <c r="Z1" s="317"/>
      <c r="AA1" s="317"/>
      <c r="AB1" s="317"/>
      <c r="AC1" s="317"/>
      <c r="AD1" s="317"/>
      <c r="AE1" s="317"/>
      <c r="AF1" s="317"/>
      <c r="AG1" s="317"/>
      <c r="AH1" s="317"/>
      <c r="AI1" s="317"/>
      <c r="AJ1" s="317"/>
      <c r="AK1" s="317"/>
      <c r="AL1" s="317"/>
      <c r="AM1" s="317"/>
    </row>
    <row r="2" spans="1:39" ht="13.5" thickBot="1" x14ac:dyDescent="0.25">
      <c r="A2" s="2"/>
      <c r="B2" s="2"/>
      <c r="C2" s="317"/>
      <c r="D2" s="317"/>
      <c r="E2" s="317"/>
      <c r="F2" s="317"/>
      <c r="G2" s="317"/>
      <c r="H2" s="317"/>
      <c r="I2" s="317"/>
      <c r="J2" s="317"/>
      <c r="K2" s="317"/>
      <c r="L2" s="317"/>
      <c r="M2" s="317"/>
      <c r="N2" s="317"/>
      <c r="O2" s="317"/>
      <c r="P2" s="317"/>
      <c r="Q2" s="317"/>
      <c r="R2" s="317"/>
      <c r="S2" s="317"/>
      <c r="T2" s="317"/>
      <c r="U2" s="317"/>
      <c r="V2" s="317"/>
      <c r="W2" s="317"/>
      <c r="X2" s="317"/>
      <c r="Y2" s="317"/>
      <c r="Z2" s="317"/>
      <c r="AA2" s="317"/>
      <c r="AB2" s="317"/>
      <c r="AC2" s="317"/>
      <c r="AD2" s="317"/>
      <c r="AE2" s="317"/>
      <c r="AF2" s="317"/>
      <c r="AG2" s="317"/>
      <c r="AH2" s="317"/>
      <c r="AI2" s="317"/>
      <c r="AJ2" s="317"/>
      <c r="AK2" s="317"/>
      <c r="AL2" s="317"/>
      <c r="AM2" s="317"/>
    </row>
    <row r="3" spans="1:39" x14ac:dyDescent="0.2">
      <c r="A3" s="363" t="s">
        <v>585</v>
      </c>
      <c r="B3" s="364" t="s">
        <v>586</v>
      </c>
      <c r="C3" s="383"/>
      <c r="D3" s="383"/>
      <c r="E3" s="383"/>
      <c r="F3" s="383"/>
      <c r="G3" s="383"/>
      <c r="H3" s="317"/>
      <c r="I3" s="317"/>
      <c r="J3" s="317"/>
      <c r="K3" s="317"/>
      <c r="L3" s="317"/>
      <c r="M3" s="317"/>
      <c r="N3" s="317"/>
      <c r="O3" s="317"/>
      <c r="P3" s="317"/>
      <c r="Q3" s="317"/>
      <c r="R3" s="317"/>
      <c r="S3" s="317"/>
      <c r="T3" s="317"/>
      <c r="U3" s="317"/>
      <c r="V3" s="317"/>
      <c r="W3" s="317"/>
      <c r="X3" s="317"/>
      <c r="Y3" s="317"/>
      <c r="Z3" s="317"/>
      <c r="AA3" s="317"/>
      <c r="AB3" s="317"/>
      <c r="AC3" s="317"/>
      <c r="AD3" s="317"/>
      <c r="AE3" s="317"/>
      <c r="AF3" s="317"/>
      <c r="AG3" s="317"/>
      <c r="AH3" s="317"/>
      <c r="AI3" s="317"/>
      <c r="AJ3" s="317"/>
      <c r="AK3" s="317"/>
      <c r="AL3" s="317"/>
      <c r="AM3" s="317"/>
    </row>
    <row r="4" spans="1:39" ht="13.5" thickBot="1" x14ac:dyDescent="0.25">
      <c r="A4" s="363"/>
      <c r="B4" s="384" t="s">
        <v>587</v>
      </c>
      <c r="C4" s="383"/>
      <c r="D4" s="383"/>
      <c r="E4" s="383"/>
      <c r="F4" s="383"/>
      <c r="G4" s="383"/>
      <c r="H4" s="317"/>
      <c r="I4" s="317"/>
      <c r="J4" s="317"/>
      <c r="K4" s="317"/>
      <c r="L4" s="317"/>
      <c r="M4" s="317"/>
      <c r="N4" s="317"/>
      <c r="O4" s="317"/>
      <c r="P4" s="317"/>
      <c r="Q4" s="317"/>
      <c r="R4" s="317"/>
      <c r="S4" s="317"/>
      <c r="T4" s="317"/>
      <c r="U4" s="317"/>
      <c r="V4" s="317"/>
      <c r="W4" s="317"/>
      <c r="X4" s="317"/>
      <c r="Y4" s="317"/>
      <c r="Z4" s="317"/>
      <c r="AA4" s="317"/>
      <c r="AB4" s="317"/>
      <c r="AC4" s="317"/>
      <c r="AD4" s="317"/>
      <c r="AE4" s="317"/>
      <c r="AF4" s="317"/>
      <c r="AG4" s="317"/>
      <c r="AH4" s="317"/>
      <c r="AI4" s="317"/>
      <c r="AJ4" s="317"/>
      <c r="AK4" s="317"/>
      <c r="AL4" s="317"/>
      <c r="AM4" s="317"/>
    </row>
    <row r="5" spans="1:39" x14ac:dyDescent="0.2">
      <c r="A5" s="383"/>
      <c r="B5" s="385">
        <f>furntype</f>
        <v>1</v>
      </c>
      <c r="C5" s="383">
        <v>1</v>
      </c>
      <c r="D5" s="383">
        <v>2</v>
      </c>
      <c r="E5" s="383">
        <v>3</v>
      </c>
      <c r="F5" s="383">
        <v>4</v>
      </c>
      <c r="G5" s="383">
        <v>5</v>
      </c>
      <c r="H5" s="317"/>
      <c r="I5" s="317"/>
      <c r="J5" s="317"/>
      <c r="K5" s="317"/>
      <c r="L5" s="317"/>
      <c r="M5" s="317"/>
      <c r="N5" s="317"/>
      <c r="O5" s="317"/>
      <c r="P5" s="317"/>
      <c r="Q5" s="317"/>
      <c r="R5" s="317"/>
      <c r="S5" s="317"/>
      <c r="T5" s="317"/>
      <c r="U5" s="317"/>
      <c r="V5" s="317"/>
      <c r="W5" s="317"/>
      <c r="X5" s="317"/>
      <c r="Y5" s="317"/>
      <c r="Z5" s="317"/>
      <c r="AA5" s="317"/>
      <c r="AB5" s="317"/>
      <c r="AC5" s="317"/>
      <c r="AD5" s="317"/>
      <c r="AE5" s="317"/>
      <c r="AF5" s="317"/>
      <c r="AG5" s="317"/>
      <c r="AH5" s="317"/>
      <c r="AI5" s="4"/>
      <c r="AJ5" s="4"/>
      <c r="AK5" s="4"/>
      <c r="AL5" s="4"/>
      <c r="AM5" s="4"/>
    </row>
    <row r="6" spans="1:39" s="10" customFormat="1" ht="25.5" x14ac:dyDescent="0.2">
      <c r="A6" s="386"/>
      <c r="B6" s="387" t="str">
        <f>LOOKUP(B$5,C$5:R$5,C6:R6)</f>
        <v>Average Furnace</v>
      </c>
      <c r="C6" s="383" t="s">
        <v>588</v>
      </c>
      <c r="D6" s="383" t="s">
        <v>589</v>
      </c>
      <c r="E6" s="383" t="s">
        <v>590</v>
      </c>
      <c r="F6" s="386" t="s">
        <v>591</v>
      </c>
      <c r="G6" s="386" t="s">
        <v>592</v>
      </c>
      <c r="H6" s="388"/>
      <c r="I6" s="388"/>
      <c r="J6" s="388"/>
      <c r="K6" s="388"/>
      <c r="L6" s="388"/>
      <c r="M6" s="388"/>
      <c r="N6" s="388"/>
      <c r="O6" s="388"/>
      <c r="P6" s="388"/>
      <c r="Q6" s="388"/>
      <c r="R6" s="388"/>
      <c r="S6" s="388"/>
      <c r="T6" s="388"/>
      <c r="U6" s="388"/>
      <c r="V6" s="388"/>
      <c r="W6" s="388"/>
      <c r="X6" s="388"/>
      <c r="Y6" s="388"/>
      <c r="Z6" s="388"/>
      <c r="AA6" s="388"/>
      <c r="AB6" s="388"/>
      <c r="AC6" s="388"/>
      <c r="AD6" s="388"/>
      <c r="AE6" s="388"/>
      <c r="AF6" s="388"/>
      <c r="AG6" s="388"/>
      <c r="AH6" s="388"/>
    </row>
    <row r="7" spans="1:39" s="11" customFormat="1" x14ac:dyDescent="0.2">
      <c r="A7" s="389" t="s">
        <v>593</v>
      </c>
      <c r="B7" s="390">
        <f>LOOKUP(B$5,C$5:R$5,C7:R7)</f>
        <v>0</v>
      </c>
      <c r="C7" s="383"/>
      <c r="D7" s="383"/>
      <c r="E7" s="391"/>
      <c r="F7" s="391"/>
      <c r="G7" s="391"/>
      <c r="H7" s="392"/>
      <c r="J7" s="392"/>
      <c r="K7" s="392"/>
      <c r="L7" s="392"/>
      <c r="M7" s="392"/>
      <c r="N7" s="392"/>
      <c r="O7" s="392"/>
      <c r="P7" s="392"/>
      <c r="Q7" s="392"/>
      <c r="R7" s="392"/>
      <c r="S7" s="392"/>
      <c r="T7" s="392"/>
      <c r="U7" s="392"/>
      <c r="V7" s="392"/>
      <c r="W7" s="392"/>
      <c r="X7" s="392"/>
      <c r="Y7" s="392"/>
      <c r="Z7" s="392"/>
      <c r="AA7" s="392"/>
      <c r="AB7" s="392"/>
      <c r="AC7" s="392"/>
      <c r="AD7" s="392"/>
      <c r="AE7" s="392"/>
      <c r="AF7" s="392"/>
      <c r="AG7" s="392"/>
      <c r="AH7" s="392"/>
    </row>
    <row r="8" spans="1:39" s="11" customFormat="1" x14ac:dyDescent="0.2">
      <c r="A8" s="389" t="s">
        <v>594</v>
      </c>
      <c r="B8" s="393">
        <f>LOOKUP(B$5,C$5:R$5,C8:R8)</f>
        <v>38000</v>
      </c>
      <c r="C8" s="383">
        <v>38000</v>
      </c>
      <c r="D8" s="383">
        <v>38000</v>
      </c>
      <c r="E8" s="391">
        <v>38000</v>
      </c>
      <c r="F8" s="391">
        <v>38000</v>
      </c>
      <c r="G8" s="391">
        <v>38000</v>
      </c>
      <c r="H8" s="392"/>
      <c r="I8" s="392"/>
      <c r="J8" s="392"/>
      <c r="K8" s="392"/>
      <c r="L8" s="392"/>
      <c r="M8" s="392"/>
      <c r="N8" s="392"/>
      <c r="O8" s="392"/>
      <c r="P8" s="392"/>
      <c r="Q8" s="392"/>
      <c r="R8" s="392"/>
      <c r="S8" s="392"/>
      <c r="T8" s="392"/>
      <c r="U8" s="392"/>
      <c r="V8" s="392"/>
      <c r="W8" s="392"/>
      <c r="X8" s="392"/>
      <c r="Y8" s="392"/>
      <c r="Z8" s="392"/>
      <c r="AA8" s="392"/>
      <c r="AB8" s="392"/>
      <c r="AC8" s="392"/>
      <c r="AD8" s="392"/>
      <c r="AE8" s="392"/>
      <c r="AF8" s="392"/>
      <c r="AG8" s="392"/>
      <c r="AH8" s="392"/>
    </row>
    <row r="9" spans="1:39" s="11" customFormat="1" x14ac:dyDescent="0.2">
      <c r="A9" s="389" t="s">
        <v>595</v>
      </c>
      <c r="B9" s="393">
        <f>LOOKUP(B$5,C$5:R$5,C9:R9)</f>
        <v>128000</v>
      </c>
      <c r="C9" s="383">
        <v>128000</v>
      </c>
      <c r="D9" s="383">
        <v>128000</v>
      </c>
      <c r="E9" s="391">
        <v>128000</v>
      </c>
      <c r="F9" s="391">
        <v>128000</v>
      </c>
      <c r="G9" s="391">
        <v>128000</v>
      </c>
      <c r="H9" s="392"/>
      <c r="I9" s="392"/>
      <c r="J9" s="392"/>
      <c r="K9" s="392"/>
      <c r="L9" s="392"/>
      <c r="M9" s="392"/>
      <c r="N9" s="392"/>
      <c r="O9" s="392"/>
      <c r="P9" s="392"/>
      <c r="Q9" s="392"/>
      <c r="R9" s="392"/>
      <c r="S9" s="392"/>
      <c r="T9" s="392"/>
      <c r="U9" s="392"/>
      <c r="V9" s="392"/>
      <c r="W9" s="392"/>
      <c r="X9" s="392"/>
      <c r="Y9" s="392"/>
      <c r="Z9" s="392"/>
      <c r="AA9" s="392"/>
      <c r="AB9" s="392"/>
      <c r="AC9" s="392"/>
      <c r="AD9" s="392"/>
      <c r="AE9" s="392"/>
      <c r="AF9" s="392"/>
      <c r="AG9" s="392"/>
      <c r="AH9" s="392"/>
    </row>
    <row r="10" spans="1:39" x14ac:dyDescent="0.2">
      <c r="A10" s="383"/>
      <c r="B10" s="394"/>
      <c r="C10" s="395"/>
      <c r="D10" s="395"/>
      <c r="E10" s="395"/>
      <c r="F10" s="383"/>
      <c r="G10" s="383"/>
      <c r="H10" s="317"/>
      <c r="I10" s="317"/>
      <c r="J10" s="317"/>
      <c r="K10" s="317"/>
      <c r="L10" s="317"/>
      <c r="M10" s="317"/>
      <c r="N10" s="317"/>
      <c r="O10" s="317"/>
      <c r="P10" s="317"/>
      <c r="Q10" s="317"/>
      <c r="R10" s="317"/>
      <c r="S10" s="317"/>
      <c r="T10" s="317"/>
      <c r="U10" s="317"/>
      <c r="V10" s="317"/>
      <c r="W10" s="317"/>
      <c r="X10" s="317"/>
      <c r="Y10" s="317"/>
      <c r="Z10" s="317"/>
      <c r="AA10" s="317"/>
      <c r="AB10" s="317"/>
      <c r="AC10" s="317"/>
      <c r="AD10" s="317"/>
      <c r="AE10" s="317"/>
      <c r="AF10" s="317"/>
      <c r="AG10" s="317"/>
      <c r="AH10" s="317"/>
      <c r="AI10" s="4"/>
      <c r="AJ10" s="4"/>
      <c r="AK10" s="4"/>
      <c r="AL10" s="4"/>
      <c r="AM10" s="4"/>
    </row>
    <row r="11" spans="1:39" x14ac:dyDescent="0.2">
      <c r="A11" s="383" t="s">
        <v>596</v>
      </c>
      <c r="B11" s="396" t="s">
        <v>597</v>
      </c>
      <c r="C11" s="383" t="s">
        <v>597</v>
      </c>
      <c r="D11" s="383" t="s">
        <v>597</v>
      </c>
      <c r="E11" s="383" t="s">
        <v>597</v>
      </c>
      <c r="F11" s="383" t="s">
        <v>597</v>
      </c>
      <c r="G11" s="383" t="s">
        <v>597</v>
      </c>
      <c r="H11" s="317"/>
      <c r="I11" s="317"/>
      <c r="J11" s="317"/>
      <c r="K11" s="317"/>
      <c r="L11" s="317"/>
      <c r="M11" s="317"/>
      <c r="N11" s="317"/>
      <c r="O11" s="317"/>
      <c r="P11" s="317"/>
      <c r="Q11" s="317"/>
      <c r="R11" s="317"/>
      <c r="S11" s="317"/>
      <c r="T11" s="317"/>
      <c r="U11" s="317"/>
      <c r="V11" s="317"/>
      <c r="W11" s="317"/>
      <c r="X11" s="317"/>
      <c r="Y11" s="317"/>
      <c r="Z11" s="317"/>
      <c r="AA11" s="317"/>
      <c r="AB11" s="317"/>
      <c r="AC11" s="317"/>
      <c r="AD11" s="317"/>
      <c r="AE11" s="317"/>
      <c r="AF11" s="317"/>
      <c r="AG11" s="317"/>
      <c r="AH11" s="317"/>
      <c r="AI11" s="4"/>
      <c r="AJ11" s="4"/>
      <c r="AK11" s="4"/>
      <c r="AL11" s="4"/>
      <c r="AM11" s="4"/>
    </row>
    <row r="12" spans="1:39" x14ac:dyDescent="0.2">
      <c r="A12" s="383"/>
      <c r="B12" s="396"/>
      <c r="C12" s="383"/>
      <c r="D12" s="383"/>
      <c r="E12" s="383"/>
      <c r="F12" s="383"/>
      <c r="G12" s="383"/>
      <c r="H12" s="317"/>
      <c r="I12" s="317"/>
      <c r="J12" s="317"/>
      <c r="K12" s="317"/>
      <c r="L12" s="317"/>
      <c r="M12" s="317"/>
      <c r="N12" s="317"/>
      <c r="O12" s="317"/>
      <c r="P12" s="317"/>
      <c r="Q12" s="317"/>
      <c r="R12" s="317"/>
      <c r="S12" s="317"/>
      <c r="T12" s="317"/>
      <c r="U12" s="317"/>
      <c r="V12" s="317"/>
      <c r="W12" s="317"/>
      <c r="X12" s="317"/>
      <c r="Y12" s="317"/>
      <c r="Z12" s="317"/>
      <c r="AA12" s="317"/>
      <c r="AB12" s="317"/>
      <c r="AC12" s="317"/>
      <c r="AD12" s="317"/>
      <c r="AE12" s="317"/>
      <c r="AF12" s="317"/>
      <c r="AG12" s="317"/>
      <c r="AH12" s="317"/>
      <c r="AI12" s="4"/>
      <c r="AJ12" s="4"/>
      <c r="AK12" s="4"/>
      <c r="AL12" s="4"/>
      <c r="AM12" s="4"/>
    </row>
    <row r="13" spans="1:39" x14ac:dyDescent="0.2">
      <c r="A13" s="383" t="s">
        <v>598</v>
      </c>
      <c r="B13" s="397">
        <f>LOOKUP(B$5,C$5:R$5,C13:R13)</f>
        <v>0.8</v>
      </c>
      <c r="C13" s="398">
        <v>0.8</v>
      </c>
      <c r="D13" s="398">
        <v>0.92</v>
      </c>
      <c r="E13" s="398">
        <v>0.96599999999999997</v>
      </c>
      <c r="F13" s="399">
        <v>0.85</v>
      </c>
      <c r="G13" s="399">
        <v>0.92</v>
      </c>
      <c r="H13" s="317"/>
      <c r="I13" s="317"/>
      <c r="J13" s="317"/>
      <c r="K13" s="317"/>
      <c r="L13" s="317"/>
      <c r="M13" s="317"/>
      <c r="N13" s="317"/>
      <c r="O13" s="317"/>
      <c r="P13" s="317"/>
      <c r="Q13" s="317"/>
      <c r="R13" s="317"/>
      <c r="S13" s="317"/>
      <c r="T13" s="317"/>
      <c r="U13" s="317"/>
      <c r="V13" s="317"/>
      <c r="W13" s="317"/>
      <c r="X13" s="317"/>
      <c r="Y13" s="317"/>
      <c r="Z13" s="317"/>
      <c r="AA13" s="317"/>
      <c r="AB13" s="317"/>
      <c r="AC13" s="317"/>
      <c r="AD13" s="317"/>
      <c r="AE13" s="317"/>
      <c r="AF13" s="317"/>
      <c r="AG13" s="317"/>
      <c r="AH13" s="317"/>
      <c r="AI13" s="4"/>
      <c r="AJ13" s="4"/>
      <c r="AK13" s="4"/>
      <c r="AL13" s="4"/>
      <c r="AM13" s="4"/>
    </row>
    <row r="14" spans="1:39" x14ac:dyDescent="0.2">
      <c r="A14" s="383" t="s">
        <v>599</v>
      </c>
      <c r="B14" s="400">
        <f>LOOKUP(B$5,C$5:R$5,C14:R14)</f>
        <v>9.1999999999999998E-2</v>
      </c>
      <c r="C14" s="401">
        <v>9.1999999999999998E-2</v>
      </c>
      <c r="D14" s="401">
        <v>9.1999999999999998E-2</v>
      </c>
      <c r="E14" s="401">
        <v>9.1999999999999998E-2</v>
      </c>
      <c r="F14" s="401">
        <v>9.1999999999999998E-2</v>
      </c>
      <c r="G14" s="401">
        <v>9.1999999999999998E-2</v>
      </c>
      <c r="H14" s="317"/>
      <c r="I14" s="317"/>
      <c r="J14" s="317"/>
      <c r="K14" s="317"/>
      <c r="L14" s="317"/>
      <c r="M14" s="317"/>
      <c r="N14" s="317"/>
      <c r="O14" s="317"/>
      <c r="P14" s="317"/>
      <c r="Q14" s="317"/>
      <c r="R14" s="317"/>
      <c r="S14" s="317"/>
      <c r="T14" s="317"/>
      <c r="U14" s="317"/>
      <c r="V14" s="317"/>
      <c r="W14" s="317"/>
      <c r="X14" s="317"/>
      <c r="Y14" s="317"/>
      <c r="Z14" s="317"/>
      <c r="AA14" s="317"/>
      <c r="AB14" s="317"/>
      <c r="AC14" s="317"/>
      <c r="AD14" s="317"/>
      <c r="AE14" s="317"/>
      <c r="AF14" s="317"/>
      <c r="AG14" s="317"/>
      <c r="AH14" s="317"/>
      <c r="AI14" s="4"/>
      <c r="AJ14" s="4"/>
      <c r="AK14" s="4"/>
      <c r="AL14" s="4"/>
      <c r="AM14" s="4"/>
    </row>
    <row r="15" spans="1:39" x14ac:dyDescent="0.2">
      <c r="A15" s="383" t="s">
        <v>600</v>
      </c>
      <c r="B15" s="402">
        <f>LOOKUP(B$5,C$5:R$5,C15:R15)</f>
        <v>5.8399999999999999E-4</v>
      </c>
      <c r="C15" s="403">
        <v>5.8399999999999999E-4</v>
      </c>
      <c r="D15" s="403">
        <v>5.8399999999999999E-4</v>
      </c>
      <c r="E15" s="403">
        <v>5.8399999999999999E-4</v>
      </c>
      <c r="F15" s="403">
        <v>5.8399999999999999E-4</v>
      </c>
      <c r="G15" s="403">
        <v>5.8399999999999999E-4</v>
      </c>
      <c r="H15" s="317"/>
      <c r="I15" s="317"/>
      <c r="J15" s="317"/>
      <c r="K15" s="317"/>
      <c r="L15" s="317"/>
      <c r="M15" s="317"/>
      <c r="N15" s="317"/>
      <c r="O15" s="317"/>
      <c r="P15" s="317"/>
      <c r="Q15" s="317"/>
      <c r="R15" s="317"/>
      <c r="S15" s="317"/>
      <c r="T15" s="317"/>
      <c r="U15" s="317"/>
      <c r="V15" s="317"/>
      <c r="W15" s="317"/>
      <c r="X15" s="317"/>
      <c r="Y15" s="317"/>
      <c r="Z15" s="317"/>
      <c r="AA15" s="317"/>
      <c r="AB15" s="317"/>
      <c r="AC15" s="317"/>
      <c r="AD15" s="317"/>
      <c r="AE15" s="317"/>
      <c r="AF15" s="317"/>
      <c r="AG15" s="317"/>
      <c r="AH15" s="317"/>
      <c r="AI15" s="4"/>
      <c r="AJ15" s="4"/>
      <c r="AK15" s="4"/>
      <c r="AL15" s="4"/>
      <c r="AM15" s="4"/>
    </row>
    <row r="16" spans="1:39" ht="13.5" thickBot="1" x14ac:dyDescent="0.25">
      <c r="A16" s="383" t="s">
        <v>601</v>
      </c>
      <c r="B16" s="404">
        <f>LOOKUP(B$5,C$5:R$5,C16:R16)</f>
        <v>117</v>
      </c>
      <c r="C16" s="405">
        <v>117</v>
      </c>
      <c r="D16" s="405">
        <v>117</v>
      </c>
      <c r="E16" s="383">
        <v>117</v>
      </c>
      <c r="F16" s="383">
        <v>117</v>
      </c>
      <c r="G16" s="383">
        <v>117</v>
      </c>
      <c r="H16" s="317"/>
      <c r="I16" s="317"/>
      <c r="J16" s="317"/>
      <c r="K16" s="317"/>
      <c r="L16" s="317"/>
      <c r="M16" s="317"/>
      <c r="N16" s="317"/>
      <c r="O16" s="317"/>
      <c r="P16" s="317"/>
      <c r="Q16" s="317"/>
      <c r="R16" s="317"/>
      <c r="S16" s="317"/>
      <c r="T16" s="317"/>
      <c r="U16" s="317"/>
      <c r="V16" s="317"/>
      <c r="W16" s="317"/>
      <c r="X16" s="317"/>
      <c r="Y16" s="317"/>
      <c r="Z16" s="317"/>
      <c r="AA16" s="317"/>
      <c r="AB16" s="317"/>
      <c r="AC16" s="317"/>
      <c r="AD16" s="317"/>
      <c r="AE16" s="317"/>
      <c r="AF16" s="317"/>
      <c r="AG16" s="317"/>
      <c r="AH16" s="317"/>
      <c r="AI16" s="4"/>
      <c r="AJ16" s="4"/>
      <c r="AK16" s="4"/>
      <c r="AL16" s="4"/>
      <c r="AM16" s="4"/>
    </row>
    <row r="17" spans="1:8" x14ac:dyDescent="0.2">
      <c r="A17" s="383"/>
      <c r="B17" s="406"/>
      <c r="C17" s="383"/>
      <c r="D17" s="383"/>
      <c r="E17" s="383"/>
      <c r="F17" s="383"/>
      <c r="G17" s="383"/>
      <c r="H17" s="317"/>
    </row>
    <row r="18" spans="1:8" x14ac:dyDescent="0.2">
      <c r="A18" s="383"/>
      <c r="B18" s="406"/>
      <c r="C18" s="383"/>
      <c r="D18" s="383"/>
      <c r="E18" s="383"/>
      <c r="F18" s="383"/>
      <c r="G18" s="383"/>
      <c r="H18" s="317"/>
    </row>
    <row r="19" spans="1:8" x14ac:dyDescent="0.2">
      <c r="A19" s="363"/>
      <c r="B19" s="406"/>
      <c r="C19" s="383"/>
      <c r="D19" s="383"/>
      <c r="E19" s="383"/>
      <c r="F19" s="383"/>
      <c r="G19" s="383"/>
      <c r="H19" s="317"/>
    </row>
    <row r="20" spans="1:8" x14ac:dyDescent="0.2">
      <c r="A20" s="383" t="s">
        <v>602</v>
      </c>
      <c r="B20" s="407"/>
      <c r="C20" s="383"/>
      <c r="D20" s="383"/>
      <c r="E20" s="383"/>
      <c r="F20" s="383"/>
      <c r="G20" s="383"/>
      <c r="H20" s="317"/>
    </row>
    <row r="21" spans="1:8" x14ac:dyDescent="0.2">
      <c r="A21" s="383" t="s">
        <v>603</v>
      </c>
      <c r="B21" s="407">
        <v>0.4</v>
      </c>
      <c r="C21" s="383"/>
      <c r="D21" s="383"/>
      <c r="E21" s="383"/>
      <c r="F21" s="383"/>
      <c r="G21" s="383"/>
      <c r="H21" s="317"/>
    </row>
    <row r="22" spans="1:8" x14ac:dyDescent="0.2">
      <c r="A22" s="383"/>
      <c r="B22" s="406"/>
      <c r="C22" s="383"/>
      <c r="D22" s="383"/>
      <c r="E22" s="383"/>
      <c r="F22" s="383"/>
      <c r="G22" s="383"/>
      <c r="H22" s="317"/>
    </row>
    <row r="23" spans="1:8" x14ac:dyDescent="0.2">
      <c r="A23" s="383"/>
      <c r="B23" s="406"/>
      <c r="C23" s="383"/>
      <c r="D23" s="383"/>
      <c r="E23" s="383"/>
      <c r="F23" s="383"/>
      <c r="G23" s="383"/>
      <c r="H23" s="317"/>
    </row>
    <row r="24" spans="1:8" x14ac:dyDescent="0.2">
      <c r="A24" s="383" t="s">
        <v>604</v>
      </c>
      <c r="B24" s="406"/>
      <c r="C24" s="383"/>
      <c r="D24" s="383"/>
      <c r="E24" s="383"/>
      <c r="F24" s="383"/>
      <c r="G24" s="383"/>
      <c r="H24" s="365" t="s">
        <v>605</v>
      </c>
    </row>
    <row r="25" spans="1:8" x14ac:dyDescent="0.2">
      <c r="A25" s="383" t="s">
        <v>603</v>
      </c>
      <c r="B25" s="408">
        <v>0.74</v>
      </c>
      <c r="C25" s="383"/>
      <c r="D25" s="383"/>
      <c r="E25" s="383"/>
      <c r="F25" s="383"/>
      <c r="G25" s="383"/>
      <c r="H25" s="317"/>
    </row>
    <row r="26" spans="1:8" x14ac:dyDescent="0.2">
      <c r="A26" s="317"/>
      <c r="B26" s="375"/>
      <c r="C26" s="317"/>
      <c r="D26" s="317"/>
      <c r="E26" s="317"/>
      <c r="F26" s="317"/>
      <c r="G26" s="317"/>
      <c r="H26" s="317"/>
    </row>
    <row r="27" spans="1:8" x14ac:dyDescent="0.2">
      <c r="A27" s="317"/>
      <c r="B27" s="375"/>
      <c r="C27" s="317"/>
      <c r="D27" s="317"/>
      <c r="E27" s="317"/>
      <c r="F27" s="317"/>
      <c r="G27" s="317"/>
      <c r="H27" s="317"/>
    </row>
    <row r="32" spans="1:8" ht="38.25" x14ac:dyDescent="0.2">
      <c r="A32" s="27" t="s">
        <v>606</v>
      </c>
      <c r="B32" s="27" t="s">
        <v>607</v>
      </c>
      <c r="C32" s="27" t="s">
        <v>608</v>
      </c>
      <c r="D32" s="27" t="s">
        <v>609</v>
      </c>
      <c r="E32" s="317"/>
      <c r="F32" s="317"/>
      <c r="G32" s="317"/>
      <c r="H32" s="317"/>
    </row>
    <row r="33" spans="1:4" x14ac:dyDescent="0.2">
      <c r="A33" s="24">
        <v>0</v>
      </c>
      <c r="B33" s="24">
        <v>0</v>
      </c>
      <c r="C33" s="24">
        <v>0</v>
      </c>
      <c r="D33" s="24">
        <v>0</v>
      </c>
    </row>
    <row r="34" spans="1:4" x14ac:dyDescent="0.2">
      <c r="A34">
        <v>1</v>
      </c>
      <c r="B34">
        <v>35</v>
      </c>
      <c r="C34" s="25">
        <f t="shared" ref="C34:C53" si="0">B34*77*8.3</f>
        <v>22368.500000000004</v>
      </c>
      <c r="D34" s="26">
        <f t="shared" ref="D34:D53" si="1">C34*365/1000000</f>
        <v>8.1645025000000011</v>
      </c>
    </row>
    <row r="35" spans="1:4" x14ac:dyDescent="0.2">
      <c r="A35">
        <v>2</v>
      </c>
      <c r="B35">
        <v>47.5</v>
      </c>
      <c r="C35" s="25">
        <f t="shared" si="0"/>
        <v>30357.250000000004</v>
      </c>
      <c r="D35" s="26">
        <f t="shared" si="1"/>
        <v>11.080396250000002</v>
      </c>
    </row>
    <row r="36" spans="1:4" x14ac:dyDescent="0.2">
      <c r="A36">
        <v>3</v>
      </c>
      <c r="B36">
        <v>60</v>
      </c>
      <c r="C36" s="25">
        <f t="shared" si="0"/>
        <v>38346</v>
      </c>
      <c r="D36" s="26">
        <f t="shared" si="1"/>
        <v>13.99629</v>
      </c>
    </row>
    <row r="37" spans="1:4" x14ac:dyDescent="0.2">
      <c r="A37">
        <v>4</v>
      </c>
      <c r="B37">
        <v>70</v>
      </c>
      <c r="C37" s="25">
        <f t="shared" si="0"/>
        <v>44737.000000000007</v>
      </c>
      <c r="D37" s="26">
        <f t="shared" si="1"/>
        <v>16.329005000000002</v>
      </c>
    </row>
    <row r="38" spans="1:4" x14ac:dyDescent="0.2">
      <c r="A38">
        <v>5</v>
      </c>
      <c r="B38">
        <v>80</v>
      </c>
      <c r="C38" s="25">
        <f t="shared" si="0"/>
        <v>51128.000000000007</v>
      </c>
      <c r="D38" s="26">
        <f t="shared" si="1"/>
        <v>18.661720000000003</v>
      </c>
    </row>
    <row r="39" spans="1:4" x14ac:dyDescent="0.2">
      <c r="A39">
        <v>6</v>
      </c>
      <c r="B39">
        <v>90</v>
      </c>
      <c r="C39" s="25">
        <f t="shared" si="0"/>
        <v>57519.000000000007</v>
      </c>
      <c r="D39" s="26">
        <f t="shared" si="1"/>
        <v>20.994435000000003</v>
      </c>
    </row>
    <row r="40" spans="1:4" x14ac:dyDescent="0.2">
      <c r="A40">
        <v>7</v>
      </c>
      <c r="B40">
        <v>100</v>
      </c>
      <c r="C40" s="25">
        <f t="shared" si="0"/>
        <v>63910.000000000007</v>
      </c>
      <c r="D40" s="26">
        <f t="shared" si="1"/>
        <v>23.327150000000003</v>
      </c>
    </row>
    <row r="41" spans="1:4" x14ac:dyDescent="0.2">
      <c r="A41">
        <v>8</v>
      </c>
      <c r="B41">
        <v>110</v>
      </c>
      <c r="C41" s="25">
        <f t="shared" si="0"/>
        <v>70301</v>
      </c>
      <c r="D41" s="26">
        <f t="shared" si="1"/>
        <v>25.659865</v>
      </c>
    </row>
    <row r="42" spans="1:4" x14ac:dyDescent="0.2">
      <c r="A42" s="317">
        <v>9</v>
      </c>
      <c r="B42" s="317">
        <v>120</v>
      </c>
      <c r="C42" s="25">
        <f t="shared" si="0"/>
        <v>76692</v>
      </c>
      <c r="D42" s="26">
        <f t="shared" si="1"/>
        <v>27.99258</v>
      </c>
    </row>
    <row r="43" spans="1:4" x14ac:dyDescent="0.2">
      <c r="A43" s="317">
        <v>10</v>
      </c>
      <c r="B43" s="317">
        <v>130</v>
      </c>
      <c r="C43" s="25">
        <f t="shared" si="0"/>
        <v>83083</v>
      </c>
      <c r="D43" s="26">
        <f t="shared" si="1"/>
        <v>30.325295000000001</v>
      </c>
    </row>
    <row r="44" spans="1:4" x14ac:dyDescent="0.2">
      <c r="A44" s="317">
        <v>11</v>
      </c>
      <c r="B44" s="317">
        <v>140</v>
      </c>
      <c r="C44" s="25">
        <f t="shared" si="0"/>
        <v>89474.000000000015</v>
      </c>
      <c r="D44" s="26">
        <f t="shared" si="1"/>
        <v>32.658010000000004</v>
      </c>
    </row>
    <row r="45" spans="1:4" x14ac:dyDescent="0.2">
      <c r="A45" s="317">
        <v>12</v>
      </c>
      <c r="B45" s="317">
        <v>150</v>
      </c>
      <c r="C45" s="25">
        <f t="shared" si="0"/>
        <v>95865.000000000015</v>
      </c>
      <c r="D45" s="26">
        <f t="shared" si="1"/>
        <v>34.990725000000005</v>
      </c>
    </row>
    <row r="46" spans="1:4" x14ac:dyDescent="0.2">
      <c r="A46" s="317">
        <v>13</v>
      </c>
      <c r="B46" s="317">
        <v>160</v>
      </c>
      <c r="C46" s="25">
        <f t="shared" si="0"/>
        <v>102256.00000000001</v>
      </c>
      <c r="D46" s="26">
        <f t="shared" si="1"/>
        <v>37.323440000000005</v>
      </c>
    </row>
    <row r="47" spans="1:4" x14ac:dyDescent="0.2">
      <c r="A47" s="317">
        <v>14</v>
      </c>
      <c r="B47" s="317">
        <v>170</v>
      </c>
      <c r="C47" s="25">
        <f t="shared" si="0"/>
        <v>108647.00000000001</v>
      </c>
      <c r="D47" s="26">
        <f t="shared" si="1"/>
        <v>39.656155000000005</v>
      </c>
    </row>
    <row r="48" spans="1:4" x14ac:dyDescent="0.2">
      <c r="A48" s="317">
        <v>15</v>
      </c>
      <c r="B48" s="317">
        <v>180</v>
      </c>
      <c r="C48" s="25">
        <f t="shared" si="0"/>
        <v>115038.00000000001</v>
      </c>
      <c r="D48" s="26">
        <f t="shared" si="1"/>
        <v>41.988870000000006</v>
      </c>
    </row>
    <row r="49" spans="1:4" x14ac:dyDescent="0.2">
      <c r="A49" s="317">
        <v>16</v>
      </c>
      <c r="B49" s="317">
        <v>190</v>
      </c>
      <c r="C49" s="25">
        <f t="shared" si="0"/>
        <v>121429.00000000001</v>
      </c>
      <c r="D49" s="26">
        <f t="shared" si="1"/>
        <v>44.321585000000006</v>
      </c>
    </row>
    <row r="50" spans="1:4" x14ac:dyDescent="0.2">
      <c r="A50" s="317">
        <v>17</v>
      </c>
      <c r="B50" s="317">
        <v>200</v>
      </c>
      <c r="C50" s="25">
        <f t="shared" si="0"/>
        <v>127820.00000000001</v>
      </c>
      <c r="D50" s="26">
        <f t="shared" si="1"/>
        <v>46.654300000000006</v>
      </c>
    </row>
    <row r="51" spans="1:4" x14ac:dyDescent="0.2">
      <c r="A51" s="317">
        <v>18</v>
      </c>
      <c r="B51" s="317">
        <v>210</v>
      </c>
      <c r="C51" s="25">
        <f t="shared" si="0"/>
        <v>134211</v>
      </c>
      <c r="D51" s="26">
        <f t="shared" si="1"/>
        <v>48.987015</v>
      </c>
    </row>
    <row r="52" spans="1:4" x14ac:dyDescent="0.2">
      <c r="A52" s="317">
        <v>19</v>
      </c>
      <c r="B52" s="317">
        <v>220</v>
      </c>
      <c r="C52" s="25">
        <f t="shared" si="0"/>
        <v>140602</v>
      </c>
      <c r="D52" s="26">
        <f t="shared" si="1"/>
        <v>51.31973</v>
      </c>
    </row>
    <row r="53" spans="1:4" x14ac:dyDescent="0.2">
      <c r="A53" s="317">
        <v>20</v>
      </c>
      <c r="B53" s="317">
        <v>230</v>
      </c>
      <c r="C53" s="25">
        <f t="shared" si="0"/>
        <v>146993</v>
      </c>
      <c r="D53" s="26">
        <f t="shared" si="1"/>
        <v>53.652445</v>
      </c>
    </row>
  </sheetData>
  <phoneticPr fontId="0" type="noConversion"/>
  <pageMargins left="0.75" right="0.75" top="1" bottom="1" header="0.5" footer="0.5"/>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3B5C30-9987-4BBF-8D26-3E034BAFC6B6}">
  <sheetPr codeName="Sheet7">
    <pageSetUpPr fitToPage="1"/>
  </sheetPr>
  <dimension ref="A3:K154"/>
  <sheetViews>
    <sheetView topLeftCell="A105" workbookViewId="0">
      <selection activeCell="F52" sqref="F52"/>
    </sheetView>
  </sheetViews>
  <sheetFormatPr defaultRowHeight="12.75" x14ac:dyDescent="0.2"/>
  <cols>
    <col min="1" max="1" width="39.42578125" bestFit="1" customWidth="1"/>
    <col min="2" max="2" width="16.7109375" bestFit="1" customWidth="1"/>
    <col min="3" max="3" width="37.28515625" customWidth="1"/>
    <col min="4" max="4" width="14.42578125" customWidth="1"/>
    <col min="6" max="6" width="32.28515625" customWidth="1"/>
    <col min="7" max="7" width="12.5703125" customWidth="1"/>
    <col min="8" max="8" width="35.42578125" customWidth="1"/>
    <col min="9" max="9" width="28.5703125" customWidth="1"/>
    <col min="11" max="11" width="23.42578125" customWidth="1"/>
  </cols>
  <sheetData>
    <row r="3" spans="1:11" x14ac:dyDescent="0.2">
      <c r="D3" s="371" t="s">
        <v>671</v>
      </c>
      <c r="E3" s="315">
        <f>heattype</f>
        <v>1</v>
      </c>
    </row>
    <row r="4" spans="1:11" x14ac:dyDescent="0.2">
      <c r="A4" s="2" t="s">
        <v>40</v>
      </c>
      <c r="D4" s="318" t="s">
        <v>672</v>
      </c>
      <c r="E4" s="319">
        <f>wheattype</f>
        <v>1</v>
      </c>
    </row>
    <row r="5" spans="1:11" x14ac:dyDescent="0.2">
      <c r="B5" s="1"/>
    </row>
    <row r="6" spans="1:11" x14ac:dyDescent="0.2">
      <c r="A6" t="s">
        <v>673</v>
      </c>
      <c r="B6" s="1">
        <f>sqft</f>
        <v>2000</v>
      </c>
    </row>
    <row r="7" spans="1:11" x14ac:dyDescent="0.2">
      <c r="A7" t="s">
        <v>674</v>
      </c>
      <c r="B7" s="1">
        <f>furntype</f>
        <v>1</v>
      </c>
      <c r="C7" t="str">
        <f>LOOKUP(B7,Lists!A4:A10,Lists!B4:B10)</f>
        <v>Average Furnace (AFUE 80%)</v>
      </c>
      <c r="F7" s="5" t="s">
        <v>675</v>
      </c>
    </row>
    <row r="8" spans="1:11" x14ac:dyDescent="0.2">
      <c r="A8" t="s">
        <v>676</v>
      </c>
      <c r="B8" s="30">
        <f>_xlfn.XLOOKUP(furntype,Lists!A4:A10,Lists!C4:C10)</f>
        <v>0.8</v>
      </c>
      <c r="F8" s="317" t="s">
        <v>677</v>
      </c>
      <c r="G8" t="str" cm="1">
        <f t="array" ref="G8">_xlfn.IFS(E3=2,'User Input'!S23,E3=1,"",E3=3,"",E3=4,"")</f>
        <v/>
      </c>
      <c r="H8" t="str">
        <f>IFERROR(_xlfn.XLOOKUP(G8,Lists!G87:G91,Oil),"")</f>
        <v/>
      </c>
      <c r="I8" s="317" t="s">
        <v>678</v>
      </c>
      <c r="J8" t="str" cm="1">
        <f t="array" ref="J8">_xlfn.IFS(E3=4,'User Input'!S23,E3=1,"",E3=2,"",E3=3,"")</f>
        <v/>
      </c>
      <c r="K8" t="str">
        <f>IFERROR(_xlfn.XLOOKUP(J8,Lists!A4:A10,Lists!B4:B10),"")</f>
        <v/>
      </c>
    </row>
    <row r="9" spans="1:11" x14ac:dyDescent="0.2">
      <c r="A9" t="s">
        <v>679</v>
      </c>
      <c r="B9" s="31">
        <f>IF(sqft=0,0,heatload)</f>
        <v>49.638628087719269</v>
      </c>
      <c r="C9" s="356" t="s">
        <v>19</v>
      </c>
      <c r="F9" s="317" t="s">
        <v>598</v>
      </c>
      <c r="G9" s="316" t="str">
        <f>IFERROR(_xlfn.XLOOKUP(G8,Lists!G87:G91,Lists!I87:I91),"")</f>
        <v/>
      </c>
      <c r="I9" s="317" t="s">
        <v>598</v>
      </c>
      <c r="J9" s="316" t="str">
        <f>IFERROR(_xlfn.XLOOKUP(J8,Lists!A4:A10,Lists!C4:C10),"")</f>
        <v/>
      </c>
    </row>
    <row r="10" spans="1:11" x14ac:dyDescent="0.2">
      <c r="A10" t="s">
        <v>680</v>
      </c>
      <c r="B10" s="31">
        <f>B9/B8</f>
        <v>62.048285109649086</v>
      </c>
      <c r="C10" s="356" t="s">
        <v>19</v>
      </c>
      <c r="F10" t="s">
        <v>681</v>
      </c>
      <c r="G10" s="42" t="str">
        <f>IFERROR(B9/G9,"")</f>
        <v/>
      </c>
      <c r="H10" t="s">
        <v>19</v>
      </c>
      <c r="I10" s="317" t="s">
        <v>682</v>
      </c>
      <c r="J10" s="42">
        <f>IFERROR(B9/J9,0)</f>
        <v>0</v>
      </c>
      <c r="K10" s="356" t="s">
        <v>19</v>
      </c>
    </row>
    <row r="11" spans="1:11" x14ac:dyDescent="0.2">
      <c r="A11" t="s">
        <v>683</v>
      </c>
      <c r="B11" s="31">
        <f>B10*'Carbon Calculator'!E105</f>
        <v>7299.7982481940098</v>
      </c>
      <c r="C11" t="s">
        <v>684</v>
      </c>
      <c r="F11" t="s">
        <v>685</v>
      </c>
      <c r="G11" s="42">
        <f>IFERROR(G10/0.137381,0)</f>
        <v>0</v>
      </c>
      <c r="H11" t="s">
        <v>686</v>
      </c>
      <c r="I11" t="s">
        <v>683</v>
      </c>
      <c r="J11" s="42">
        <f>J10*'Carbon Calculator'!E105</f>
        <v>0</v>
      </c>
      <c r="K11" t="s">
        <v>684</v>
      </c>
    </row>
    <row r="12" spans="1:11" x14ac:dyDescent="0.2">
      <c r="B12" s="1"/>
      <c r="F12" t="s">
        <v>683</v>
      </c>
      <c r="G12" s="42">
        <f>G11*'Carbon Calculator'!E111/1000</f>
        <v>0</v>
      </c>
      <c r="H12" t="s">
        <v>684</v>
      </c>
    </row>
    <row r="13" spans="1:11" x14ac:dyDescent="0.2">
      <c r="A13" t="s">
        <v>687</v>
      </c>
      <c r="B13" s="1" cm="1">
        <f t="array" ref="B13">_xlfn.IFS(E3=1,'User Input'!S23,E3=2,"",E3=3,"",E3=4,"")</f>
        <v>2</v>
      </c>
      <c r="C13" t="str">
        <f ca="1">IFERROR(LOOKUP(B13,Lists!A87:A90,Lists!B87:B89),"")</f>
        <v>Standard Effic. Heat Pump - 7.5 HSPF2</v>
      </c>
    </row>
    <row r="14" spans="1:11" x14ac:dyDescent="0.2">
      <c r="A14" t="s">
        <v>688</v>
      </c>
      <c r="B14" s="32">
        <f>IF(B13=2,'Adjusted HSPF'!E2,IF(B13=3,'Adjusted HSPF'!F2,IF(B13=4,'Adjusted HSPF'!G2,0)))</f>
        <v>6.7278185050535928</v>
      </c>
      <c r="F14" s="317" t="s">
        <v>689</v>
      </c>
      <c r="G14" t="str" cm="1">
        <f t="array" ref="G14">_xlfn.IFS(E3=3,'User Input'!S23,E3=1,"",E3=2,"",E3=4,"")</f>
        <v/>
      </c>
      <c r="H14" t="str">
        <f>IF(E3=3,_xlfn.XLOOKUP(G14,Lists!K87:K93,Lists!L87:L93),"")</f>
        <v/>
      </c>
    </row>
    <row r="15" spans="1:11" x14ac:dyDescent="0.2">
      <c r="A15" t="s">
        <v>690</v>
      </c>
      <c r="B15" s="33">
        <f>IF(B13=1,0.99,0)</f>
        <v>0</v>
      </c>
      <c r="F15" s="317" t="s">
        <v>598</v>
      </c>
      <c r="G15" s="316" t="str">
        <f>IF(E3=3,_xlfn.XLOOKUP(G14,Lists!K87:K93,Lists!M87:M93),"")</f>
        <v/>
      </c>
    </row>
    <row r="16" spans="1:11" x14ac:dyDescent="0.2">
      <c r="B16" s="1"/>
      <c r="F16" t="s">
        <v>691</v>
      </c>
      <c r="G16" s="42" t="str">
        <f>IFERROR(B9/G15,"")</f>
        <v/>
      </c>
      <c r="H16" t="s">
        <v>19</v>
      </c>
    </row>
    <row r="17" spans="1:11" x14ac:dyDescent="0.2">
      <c r="A17" t="s">
        <v>692</v>
      </c>
      <c r="B17" s="34">
        <f>IFERROR(IF(B13=1,B9/3412*1000/B15,B9/B14),0)</f>
        <v>7.3781164058503172</v>
      </c>
      <c r="C17" t="s">
        <v>693</v>
      </c>
      <c r="F17" t="s">
        <v>694</v>
      </c>
      <c r="G17" s="42">
        <f>IFERROR(G16/0.0916,0)</f>
        <v>0</v>
      </c>
      <c r="H17" t="s">
        <v>686</v>
      </c>
    </row>
    <row r="18" spans="1:11" x14ac:dyDescent="0.2">
      <c r="A18" t="s">
        <v>695</v>
      </c>
      <c r="B18" s="31">
        <f>B17/(1-'Carbon Calculator'!E80)</f>
        <v>7.7910416112463752</v>
      </c>
      <c r="C18" t="s">
        <v>693</v>
      </c>
      <c r="F18" t="s">
        <v>683</v>
      </c>
      <c r="G18" s="42">
        <f>G17*'Carbon Calculator'!E108/1000</f>
        <v>0</v>
      </c>
      <c r="H18" t="s">
        <v>684</v>
      </c>
    </row>
    <row r="19" spans="1:11" x14ac:dyDescent="0.2">
      <c r="A19" t="s">
        <v>696</v>
      </c>
      <c r="B19" s="31">
        <f>B18*'Carbon Calculator'!E101/1000</f>
        <v>67.51316002497704</v>
      </c>
      <c r="C19" t="s">
        <v>19</v>
      </c>
    </row>
    <row r="20" spans="1:11" x14ac:dyDescent="0.2">
      <c r="A20" s="322" t="s">
        <v>683</v>
      </c>
      <c r="B20" s="354">
        <f>B18*'Carbon Calculator'!E102</f>
        <v>9896.64072606021</v>
      </c>
      <c r="C20" s="322" t="s">
        <v>684</v>
      </c>
      <c r="D20" s="322"/>
      <c r="E20" s="322"/>
      <c r="F20" s="322"/>
      <c r="G20" s="322"/>
      <c r="H20" s="322"/>
      <c r="I20" s="322"/>
    </row>
    <row r="21" spans="1:11" x14ac:dyDescent="0.2">
      <c r="B21" s="31"/>
    </row>
    <row r="22" spans="1:11" x14ac:dyDescent="0.2">
      <c r="B22" s="1"/>
    </row>
    <row r="23" spans="1:11" x14ac:dyDescent="0.2">
      <c r="A23" s="2" t="s">
        <v>15</v>
      </c>
      <c r="B23" s="1"/>
    </row>
    <row r="24" spans="1:11" x14ac:dyDescent="0.2">
      <c r="B24" s="1"/>
    </row>
    <row r="25" spans="1:11" x14ac:dyDescent="0.2">
      <c r="A25" t="s">
        <v>16</v>
      </c>
      <c r="B25" s="1">
        <f>famsize</f>
        <v>4</v>
      </c>
      <c r="F25" s="317" t="s">
        <v>697</v>
      </c>
      <c r="G25" t="str" cm="1">
        <f t="array" ref="G25">_xlfn.IFS(E4=2,'User Input'!S36,E4=1,"",E4=3,"",E4=4,"")</f>
        <v/>
      </c>
      <c r="H25" t="str">
        <f>IFERROR(_xlfn.XLOOKUP(G25,Lists!G96,Lists!H96),"")</f>
        <v/>
      </c>
      <c r="I25" s="317" t="s">
        <v>698</v>
      </c>
      <c r="J25" t="str" cm="1">
        <f t="array" ref="J25">_xlfn.IFS(E4=4,'User Input'!S36,E4=1,"",E4=3,"",E4=2,"")</f>
        <v/>
      </c>
      <c r="K25" t="str">
        <f>IFERROR(_xlfn.XLOOKUP(J25,Lists!A94:A101,Lists!B94:B101),"")</f>
        <v/>
      </c>
    </row>
    <row r="26" spans="1:11" x14ac:dyDescent="0.2">
      <c r="A26" t="s">
        <v>699</v>
      </c>
      <c r="B26" s="1">
        <f>gasWHtype</f>
        <v>1</v>
      </c>
      <c r="C26" t="str">
        <f>LOOKUP(B26,Lists!A94:A101,Lists!B94:B101)</f>
        <v>Standard Tank: UEF = .58</v>
      </c>
      <c r="F26" s="317" t="s">
        <v>700</v>
      </c>
      <c r="G26" s="321" t="str">
        <f>IFERROR(_xlfn.XLOOKUP(G25,Lists!G96:G97,Lists!I96:I97),"")</f>
        <v/>
      </c>
      <c r="I26" s="317" t="s">
        <v>701</v>
      </c>
      <c r="J26" s="331" t="str">
        <f>IFERROR(_xlfn.XLOOKUP(J25,Lists!A94:A101,Lists!C94:C101),"")</f>
        <v/>
      </c>
    </row>
    <row r="27" spans="1:11" x14ac:dyDescent="0.2">
      <c r="A27" s="317" t="s">
        <v>702</v>
      </c>
      <c r="B27" s="1">
        <f>LOOKUP(gasWHtype,Lists!A94:A101,Lists!C94:C101)</f>
        <v>0.57999999999999996</v>
      </c>
    </row>
    <row r="28" spans="1:11" x14ac:dyDescent="0.2">
      <c r="A28" t="s">
        <v>703</v>
      </c>
      <c r="B28" s="1">
        <f>LOOKUP(state,Lists!A21:A83,Lists!E21:E83)</f>
        <v>1</v>
      </c>
      <c r="F28" t="s">
        <v>681</v>
      </c>
      <c r="G28" t="str">
        <f>IFERROR((B30/G26*B28),"")</f>
        <v/>
      </c>
      <c r="H28" t="s">
        <v>19</v>
      </c>
      <c r="I28" s="356" t="s">
        <v>704</v>
      </c>
      <c r="J28" s="42">
        <f>IFERROR(IF(B25=0,0,IF(B27=0,0,(B30/J26*B28))),0)</f>
        <v>0</v>
      </c>
      <c r="K28" t="s">
        <v>19</v>
      </c>
    </row>
    <row r="29" spans="1:11" x14ac:dyDescent="0.2">
      <c r="B29" s="1"/>
      <c r="F29" t="s">
        <v>685</v>
      </c>
      <c r="G29" s="42">
        <f>IFERROR(G28/0.137381,0)</f>
        <v>0</v>
      </c>
      <c r="H29" t="s">
        <v>686</v>
      </c>
      <c r="I29" t="s">
        <v>683</v>
      </c>
      <c r="J29" s="42">
        <f>J28*'Carbon Calculator'!E105</f>
        <v>0</v>
      </c>
      <c r="K29" t="s">
        <v>684</v>
      </c>
    </row>
    <row r="30" spans="1:11" x14ac:dyDescent="0.2">
      <c r="A30" t="s">
        <v>705</v>
      </c>
      <c r="B30" s="31">
        <f>LOOKUP(famsize,AppTech!A33:A53,AppTech!D33:D53)</f>
        <v>16.329005000000002</v>
      </c>
      <c r="C30" s="356" t="s">
        <v>19</v>
      </c>
      <c r="F30" t="s">
        <v>683</v>
      </c>
      <c r="G30" s="42">
        <f>G29*'Carbon Calculator'!E111/1000</f>
        <v>0</v>
      </c>
      <c r="H30" t="s">
        <v>684</v>
      </c>
    </row>
    <row r="31" spans="1:11" x14ac:dyDescent="0.2">
      <c r="A31" s="417" t="s">
        <v>704</v>
      </c>
      <c r="B31" s="418">
        <f>IF(B25=0,0,IF(B27=0,0,(B30/B27*B28)))</f>
        <v>28.153456896551731</v>
      </c>
      <c r="C31" s="356" t="s">
        <v>19</v>
      </c>
    </row>
    <row r="32" spans="1:11" x14ac:dyDescent="0.2">
      <c r="A32" s="356" t="s">
        <v>683</v>
      </c>
      <c r="B32" s="418">
        <f>B31*'Carbon Calculator'!E105</f>
        <v>3312.171399594321</v>
      </c>
      <c r="C32" s="356" t="s">
        <v>684</v>
      </c>
    </row>
    <row r="33" spans="1:11" x14ac:dyDescent="0.2">
      <c r="B33" s="1"/>
    </row>
    <row r="34" spans="1:11" x14ac:dyDescent="0.2">
      <c r="A34" t="s">
        <v>706</v>
      </c>
      <c r="B34" s="1" cm="1">
        <f t="array" ref="B34">_xlfn.IFS(E4=1,'User Input'!S36,E4=2,"",E4=3,"",E4=4,"")</f>
        <v>1</v>
      </c>
      <c r="C34" t="str">
        <f>IFERROR(LOOKUP(B34,Lists!A104:A107,Lists!B104:B107),"")</f>
        <v>Standard: UEF = 0.92</v>
      </c>
      <c r="F34" t="s">
        <v>707</v>
      </c>
      <c r="G34" t="str" cm="1">
        <f t="array" ref="G34">_xlfn.IFS(E4=3,'User Input'!S36,E4=1,"",E4=2,"",E4=4,"")</f>
        <v/>
      </c>
      <c r="H34" t="str">
        <f>IFERROR(_xlfn.XLOOKUP(G34,Lists!K96:K103,Lists!L96:L103),"")</f>
        <v/>
      </c>
    </row>
    <row r="35" spans="1:11" x14ac:dyDescent="0.2">
      <c r="A35" t="s">
        <v>708</v>
      </c>
      <c r="B35" s="1">
        <f>IFERROR(LOOKUP(B34,Lists!A104:A107,Lists!C104:C107),"")</f>
        <v>0.92</v>
      </c>
      <c r="F35" s="317" t="s">
        <v>709</v>
      </c>
      <c r="G35" t="str">
        <f>IFERROR(_xlfn.XLOOKUP(G34,Lists!K96:K103,Lists!M96:M103),"")</f>
        <v/>
      </c>
    </row>
    <row r="36" spans="1:11" x14ac:dyDescent="0.2">
      <c r="A36" t="s">
        <v>692</v>
      </c>
      <c r="B36" s="31">
        <f>IFERROR(B30*B28/B35/3412*1000,0)</f>
        <v>5.201910456700138</v>
      </c>
      <c r="C36" s="356" t="s">
        <v>693</v>
      </c>
    </row>
    <row r="37" spans="1:11" x14ac:dyDescent="0.2">
      <c r="A37" t="s">
        <v>695</v>
      </c>
      <c r="B37" s="31">
        <f>B36/(1-'Carbon Calculator'!E80)</f>
        <v>5.4930416649420675</v>
      </c>
      <c r="C37" s="356" t="s">
        <v>693</v>
      </c>
      <c r="F37" t="s">
        <v>691</v>
      </c>
      <c r="G37" t="str">
        <f>IFERROR(B30/G35*B28,"")</f>
        <v/>
      </c>
      <c r="H37" t="s">
        <v>19</v>
      </c>
    </row>
    <row r="38" spans="1:11" x14ac:dyDescent="0.2">
      <c r="A38" t="s">
        <v>696</v>
      </c>
      <c r="B38" s="31">
        <f>B37*'Carbon Calculator'!E101/1000</f>
        <v>47.599874247080663</v>
      </c>
      <c r="C38" t="s">
        <v>19</v>
      </c>
      <c r="F38" t="s">
        <v>694</v>
      </c>
      <c r="G38" s="42">
        <f>IFERROR(G37/0.0916,0)</f>
        <v>0</v>
      </c>
      <c r="H38" t="s">
        <v>686</v>
      </c>
    </row>
    <row r="39" spans="1:11" x14ac:dyDescent="0.2">
      <c r="A39" s="322" t="s">
        <v>683</v>
      </c>
      <c r="B39" s="354">
        <f>B37*'Carbon Calculator'!E102</f>
        <v>6977.585612267646</v>
      </c>
      <c r="C39" s="322" t="s">
        <v>684</v>
      </c>
      <c r="D39" s="322"/>
      <c r="E39" s="322"/>
      <c r="F39" s="322" t="s">
        <v>683</v>
      </c>
      <c r="G39" s="355">
        <f>G38*'Carbon Calculator'!E108/1000</f>
        <v>0</v>
      </c>
      <c r="H39" s="322" t="s">
        <v>684</v>
      </c>
      <c r="I39" s="322"/>
      <c r="J39" s="322"/>
      <c r="K39" s="322"/>
    </row>
    <row r="40" spans="1:11" x14ac:dyDescent="0.2">
      <c r="B40" s="1"/>
    </row>
    <row r="41" spans="1:11" x14ac:dyDescent="0.2">
      <c r="A41" s="2" t="s">
        <v>710</v>
      </c>
      <c r="B41" s="1"/>
    </row>
    <row r="42" spans="1:11" x14ac:dyDescent="0.2">
      <c r="B42" s="1"/>
    </row>
    <row r="43" spans="1:11" x14ac:dyDescent="0.2">
      <c r="A43" t="s">
        <v>711</v>
      </c>
      <c r="B43" s="1">
        <f>dryerloads</f>
        <v>8</v>
      </c>
      <c r="F43" s="317" t="s">
        <v>712</v>
      </c>
      <c r="G43" s="42">
        <f>IF(dtype=2,B48/0.0916,0)</f>
        <v>0</v>
      </c>
      <c r="H43" t="s">
        <v>686</v>
      </c>
    </row>
    <row r="44" spans="1:11" x14ac:dyDescent="0.2">
      <c r="A44" t="s">
        <v>713</v>
      </c>
      <c r="B44" s="1">
        <f>B43*52</f>
        <v>416</v>
      </c>
      <c r="F44" t="s">
        <v>683</v>
      </c>
      <c r="G44" s="42">
        <f>G43*'Carbon Calculator'!E108/1000</f>
        <v>0</v>
      </c>
      <c r="H44" t="s">
        <v>684</v>
      </c>
    </row>
    <row r="45" spans="1:11" x14ac:dyDescent="0.2">
      <c r="A45" t="s">
        <v>714</v>
      </c>
      <c r="B45" s="1">
        <v>2.67</v>
      </c>
      <c r="F45" s="317"/>
      <c r="G45" s="42"/>
    </row>
    <row r="46" spans="1:11" x14ac:dyDescent="0.2">
      <c r="A46" s="417" t="s">
        <v>715</v>
      </c>
      <c r="B46" s="419">
        <f>(Factors!A24/Calc!B45*Factors!A25)*3412/1000000</f>
        <v>3.7212524344569289</v>
      </c>
      <c r="C46" s="356" t="s">
        <v>716</v>
      </c>
    </row>
    <row r="47" spans="1:11" x14ac:dyDescent="0.2">
      <c r="A47" s="417" t="s">
        <v>717</v>
      </c>
      <c r="B47" s="375">
        <f>B46/416</f>
        <v>8.9453183520599253E-3</v>
      </c>
      <c r="F47" s="317" t="s">
        <v>718</v>
      </c>
      <c r="G47" s="42">
        <f>IF(dtype=3,B48,0)</f>
        <v>0</v>
      </c>
      <c r="H47" s="317" t="s">
        <v>719</v>
      </c>
    </row>
    <row r="48" spans="1:11" x14ac:dyDescent="0.2">
      <c r="A48" s="417" t="s">
        <v>720</v>
      </c>
      <c r="B48" s="418">
        <f>B44*B47</f>
        <v>3.7212524344569289</v>
      </c>
    </row>
    <row r="49" spans="1:8" x14ac:dyDescent="0.2">
      <c r="A49" s="356" t="s">
        <v>683</v>
      </c>
      <c r="B49" s="31">
        <f>B48*'Carbon Calculator'!E105</f>
        <v>437.7944040537563</v>
      </c>
      <c r="C49" t="s">
        <v>684</v>
      </c>
    </row>
    <row r="50" spans="1:8" x14ac:dyDescent="0.2">
      <c r="B50" s="1"/>
    </row>
    <row r="51" spans="1:8" x14ac:dyDescent="0.2">
      <c r="B51" s="1"/>
    </row>
    <row r="52" spans="1:8" x14ac:dyDescent="0.2">
      <c r="A52" t="s">
        <v>721</v>
      </c>
      <c r="B52" s="1">
        <v>3.73</v>
      </c>
    </row>
    <row r="53" spans="1:8" x14ac:dyDescent="0.2">
      <c r="A53" t="s">
        <v>692</v>
      </c>
      <c r="B53" s="1">
        <f>IF(dtype=1,Factors!A24/Calc!B52*B44/1000,0)</f>
        <v>0.78069705093833774</v>
      </c>
      <c r="C53" t="s">
        <v>693</v>
      </c>
    </row>
    <row r="54" spans="1:8" x14ac:dyDescent="0.2">
      <c r="A54" t="s">
        <v>695</v>
      </c>
      <c r="B54" s="31">
        <f>B53/(1-'Carbon Calculator'!E80)</f>
        <v>0.82438970532031441</v>
      </c>
      <c r="C54" t="s">
        <v>693</v>
      </c>
    </row>
    <row r="55" spans="1:8" x14ac:dyDescent="0.2">
      <c r="A55" t="s">
        <v>696</v>
      </c>
      <c r="B55" s="31">
        <f>B54*'Carbon Calculator'!E101/1000</f>
        <v>7.1437372402032748</v>
      </c>
      <c r="C55" t="s">
        <v>19</v>
      </c>
    </row>
    <row r="56" spans="1:8" x14ac:dyDescent="0.2">
      <c r="A56" s="322" t="s">
        <v>683</v>
      </c>
      <c r="B56" s="354">
        <f>B54*'Carbon Calculator'!E102</f>
        <v>1047.1884426904774</v>
      </c>
      <c r="C56" s="322" t="s">
        <v>684</v>
      </c>
      <c r="D56" s="322"/>
      <c r="E56" s="322"/>
      <c r="F56" s="322"/>
      <c r="G56" s="322"/>
      <c r="H56" s="322"/>
    </row>
    <row r="57" spans="1:8" x14ac:dyDescent="0.2">
      <c r="B57" s="1"/>
    </row>
    <row r="58" spans="1:8" x14ac:dyDescent="0.2">
      <c r="A58" s="2" t="s">
        <v>26</v>
      </c>
      <c r="B58" s="1"/>
    </row>
    <row r="59" spans="1:8" x14ac:dyDescent="0.2">
      <c r="B59" s="1"/>
    </row>
    <row r="60" spans="1:8" x14ac:dyDescent="0.2">
      <c r="A60" s="417" t="s">
        <v>722</v>
      </c>
      <c r="B60" s="375">
        <f>IF('User Input'!F55="No",0,1.5)</f>
        <v>1.5</v>
      </c>
      <c r="C60" s="356" t="s">
        <v>19</v>
      </c>
      <c r="F60" s="317" t="s">
        <v>712</v>
      </c>
      <c r="G60" s="42">
        <f>IF(ctype=2,B60/0.0916,0)</f>
        <v>0</v>
      </c>
      <c r="H60" t="s">
        <v>686</v>
      </c>
    </row>
    <row r="61" spans="1:8" x14ac:dyDescent="0.2">
      <c r="A61" s="417" t="s">
        <v>723</v>
      </c>
      <c r="B61" s="420">
        <f>cookeff</f>
        <v>0.4</v>
      </c>
      <c r="C61" s="356"/>
      <c r="F61" t="s">
        <v>683</v>
      </c>
      <c r="G61" s="42">
        <f>G60*'Carbon Calculator'!E108/1000</f>
        <v>0</v>
      </c>
      <c r="H61" t="s">
        <v>684</v>
      </c>
    </row>
    <row r="62" spans="1:8" x14ac:dyDescent="0.2">
      <c r="B62" s="1"/>
    </row>
    <row r="63" spans="1:8" x14ac:dyDescent="0.2">
      <c r="A63" s="417" t="s">
        <v>724</v>
      </c>
      <c r="B63" s="421">
        <f>IF('User Input'!F55="No",0,0.261)</f>
        <v>0.26100000000000001</v>
      </c>
      <c r="C63" s="356" t="s">
        <v>693</v>
      </c>
    </row>
    <row r="64" spans="1:8" x14ac:dyDescent="0.2">
      <c r="B64" s="1"/>
    </row>
    <row r="65" spans="1:10" x14ac:dyDescent="0.2">
      <c r="A65" s="417" t="s">
        <v>725</v>
      </c>
      <c r="B65" s="33">
        <f>cookelecuse</f>
        <v>0.74</v>
      </c>
    </row>
    <row r="66" spans="1:10" x14ac:dyDescent="0.2">
      <c r="A66" s="474" t="s">
        <v>726</v>
      </c>
      <c r="B66" s="475"/>
      <c r="C66" s="476" t="s">
        <v>19</v>
      </c>
      <c r="F66" s="317" t="s">
        <v>727</v>
      </c>
      <c r="G66">
        <f>IF(ctype=3,B60,0)</f>
        <v>0</v>
      </c>
      <c r="H66" s="317" t="s">
        <v>19</v>
      </c>
    </row>
    <row r="67" spans="1:10" x14ac:dyDescent="0.2">
      <c r="A67" t="s">
        <v>692</v>
      </c>
      <c r="B67" s="477">
        <f>IF(ctype=1,B63/B65,0)</f>
        <v>0.35270270270270271</v>
      </c>
      <c r="C67" t="s">
        <v>693</v>
      </c>
      <c r="F67" t="s">
        <v>728</v>
      </c>
      <c r="G67" s="42" t="str">
        <f>IF(ctype=3,B60*'Carbon Calculator'!E105,"")</f>
        <v/>
      </c>
      <c r="H67" t="s">
        <v>684</v>
      </c>
    </row>
    <row r="68" spans="1:10" x14ac:dyDescent="0.2">
      <c r="A68" t="s">
        <v>695</v>
      </c>
      <c r="B68" s="477">
        <f>B67/(1-'Carbon Calculator'!E80)</f>
        <v>0.37244213590570507</v>
      </c>
      <c r="C68" t="s">
        <v>693</v>
      </c>
    </row>
    <row r="69" spans="1:10" x14ac:dyDescent="0.2">
      <c r="A69" s="476" t="s">
        <v>696</v>
      </c>
      <c r="B69" s="475">
        <f>B68*'Carbon Calculator'!E101/1000</f>
        <v>3.2273920197203996</v>
      </c>
      <c r="C69" s="476" t="s">
        <v>19</v>
      </c>
    </row>
    <row r="70" spans="1:10" x14ac:dyDescent="0.2">
      <c r="A70" s="322" t="s">
        <v>683</v>
      </c>
      <c r="B70" s="354">
        <f>B68*'Carbon Calculator'!E102</f>
        <v>473.09797511344505</v>
      </c>
      <c r="C70" s="322" t="s">
        <v>684</v>
      </c>
      <c r="D70" s="322"/>
      <c r="E70" s="322"/>
      <c r="F70" s="322"/>
      <c r="G70" s="322"/>
      <c r="H70" s="322"/>
    </row>
    <row r="71" spans="1:10" x14ac:dyDescent="0.2">
      <c r="B71" s="1"/>
    </row>
    <row r="72" spans="1:10" x14ac:dyDescent="0.2">
      <c r="B72" s="1"/>
    </row>
    <row r="73" spans="1:10" x14ac:dyDescent="0.2">
      <c r="B73" s="1"/>
    </row>
    <row r="74" spans="1:10" x14ac:dyDescent="0.2">
      <c r="A74" s="2" t="s">
        <v>729</v>
      </c>
      <c r="B74" s="1"/>
    </row>
    <row r="75" spans="1:10" x14ac:dyDescent="0.2">
      <c r="B75" s="1"/>
    </row>
    <row r="76" spans="1:10" x14ac:dyDescent="0.2">
      <c r="A76" s="317" t="s">
        <v>730</v>
      </c>
      <c r="B76" s="32">
        <f>B10+B31+B48+B60</f>
        <v>95.422994440657746</v>
      </c>
      <c r="C76" t="s">
        <v>19</v>
      </c>
      <c r="D76" t="s">
        <v>731</v>
      </c>
      <c r="E76" s="42">
        <f>G11+G29</f>
        <v>0</v>
      </c>
      <c r="F76" t="s">
        <v>732</v>
      </c>
      <c r="H76" t="s">
        <v>712</v>
      </c>
      <c r="I76" s="42">
        <f>G17+G38+G43+G60</f>
        <v>0</v>
      </c>
      <c r="J76" t="s">
        <v>732</v>
      </c>
    </row>
    <row r="77" spans="1:10" x14ac:dyDescent="0.2">
      <c r="A77" t="s">
        <v>733</v>
      </c>
      <c r="B77" s="31">
        <f>B17+B36+B53+B67</f>
        <v>13.713426616191494</v>
      </c>
      <c r="C77" t="s">
        <v>693</v>
      </c>
    </row>
    <row r="78" spans="1:10" x14ac:dyDescent="0.2">
      <c r="B78" s="1"/>
    </row>
    <row r="79" spans="1:10" x14ac:dyDescent="0.2">
      <c r="B79" s="1"/>
      <c r="H79" t="s">
        <v>734</v>
      </c>
      <c r="I79" s="42">
        <f>J10+J28+G47+G66</f>
        <v>0</v>
      </c>
      <c r="J79" t="s">
        <v>19</v>
      </c>
    </row>
    <row r="80" spans="1:10" x14ac:dyDescent="0.2">
      <c r="A80" s="346" t="s">
        <v>735</v>
      </c>
      <c r="B80" s="358"/>
      <c r="C80" s="349" t="s">
        <v>736</v>
      </c>
    </row>
    <row r="81" spans="1:3" x14ac:dyDescent="0.2">
      <c r="A81" s="349" t="s">
        <v>737</v>
      </c>
      <c r="B81" s="359"/>
      <c r="C81" s="346" t="s">
        <v>738</v>
      </c>
    </row>
    <row r="82" spans="1:3" x14ac:dyDescent="0.2">
      <c r="A82" s="346" t="s">
        <v>739</v>
      </c>
      <c r="B82" s="358"/>
      <c r="C82" s="349" t="s">
        <v>736</v>
      </c>
    </row>
    <row r="83" spans="1:3" x14ac:dyDescent="0.2">
      <c r="A83" s="346" t="s">
        <v>740</v>
      </c>
      <c r="B83" s="358"/>
      <c r="C83" s="346" t="s">
        <v>738</v>
      </c>
    </row>
    <row r="84" spans="1:3" x14ac:dyDescent="0.2">
      <c r="A84" s="346" t="s">
        <v>741</v>
      </c>
      <c r="B84" s="348"/>
      <c r="C84" s="349" t="s">
        <v>736</v>
      </c>
    </row>
    <row r="85" spans="1:3" x14ac:dyDescent="0.2">
      <c r="A85" s="346" t="s">
        <v>742</v>
      </c>
      <c r="B85" s="348"/>
      <c r="C85" s="346" t="s">
        <v>738</v>
      </c>
    </row>
    <row r="86" spans="1:3" x14ac:dyDescent="0.2">
      <c r="B86" s="1"/>
    </row>
    <row r="87" spans="1:3" x14ac:dyDescent="0.2">
      <c r="B87" s="1"/>
    </row>
    <row r="88" spans="1:3" x14ac:dyDescent="0.2">
      <c r="A88" s="344" t="s">
        <v>743</v>
      </c>
      <c r="B88" s="345"/>
      <c r="C88" s="346" t="s">
        <v>744</v>
      </c>
    </row>
    <row r="89" spans="1:3" x14ac:dyDescent="0.2">
      <c r="A89" s="344" t="s">
        <v>745</v>
      </c>
      <c r="B89" s="347"/>
      <c r="C89" s="346" t="s">
        <v>744</v>
      </c>
    </row>
    <row r="90" spans="1:3" x14ac:dyDescent="0.2">
      <c r="A90" s="344" t="s">
        <v>746</v>
      </c>
      <c r="B90" s="348"/>
      <c r="C90" s="346" t="s">
        <v>744</v>
      </c>
    </row>
    <row r="91" spans="1:3" x14ac:dyDescent="0.2">
      <c r="A91" s="349"/>
      <c r="B91" s="350"/>
      <c r="C91" s="349"/>
    </row>
    <row r="92" spans="1:3" x14ac:dyDescent="0.2">
      <c r="A92" s="346" t="s">
        <v>747</v>
      </c>
      <c r="B92" s="345"/>
      <c r="C92" s="346" t="s">
        <v>693</v>
      </c>
    </row>
    <row r="93" spans="1:3" x14ac:dyDescent="0.2">
      <c r="A93" s="344" t="s">
        <v>748</v>
      </c>
      <c r="B93" s="347"/>
      <c r="C93" s="346" t="s">
        <v>684</v>
      </c>
    </row>
    <row r="94" spans="1:3" x14ac:dyDescent="0.2">
      <c r="A94" s="344" t="s">
        <v>749</v>
      </c>
      <c r="B94" s="347"/>
      <c r="C94" s="346" t="s">
        <v>684</v>
      </c>
    </row>
    <row r="95" spans="1:3" x14ac:dyDescent="0.2">
      <c r="A95" s="344" t="s">
        <v>750</v>
      </c>
      <c r="B95" s="351"/>
      <c r="C95" s="346" t="s">
        <v>684</v>
      </c>
    </row>
    <row r="96" spans="1:3" x14ac:dyDescent="0.2">
      <c r="A96" s="349"/>
      <c r="B96" s="350"/>
      <c r="C96" s="349"/>
    </row>
    <row r="97" spans="1:3" x14ac:dyDescent="0.2">
      <c r="A97" s="349"/>
      <c r="B97" s="350"/>
      <c r="C97" s="349"/>
    </row>
    <row r="98" spans="1:3" x14ac:dyDescent="0.2">
      <c r="A98" s="346" t="s">
        <v>751</v>
      </c>
      <c r="B98" s="345"/>
      <c r="C98" s="346" t="s">
        <v>752</v>
      </c>
    </row>
    <row r="99" spans="1:3" x14ac:dyDescent="0.2">
      <c r="A99" s="346" t="s">
        <v>753</v>
      </c>
      <c r="B99" s="347"/>
      <c r="C99" s="346" t="s">
        <v>754</v>
      </c>
    </row>
    <row r="100" spans="1:3" x14ac:dyDescent="0.2">
      <c r="B100" s="1"/>
    </row>
    <row r="101" spans="1:3" x14ac:dyDescent="0.2">
      <c r="A101" t="s">
        <v>755</v>
      </c>
      <c r="B101" s="35">
        <f>'Carbon Calculator'!I137</f>
        <v>0.70684991816068343</v>
      </c>
    </row>
    <row r="102" spans="1:3" x14ac:dyDescent="0.2">
      <c r="A102" t="s">
        <v>756</v>
      </c>
      <c r="B102" s="31">
        <f>((('User Input'!L81/2000/1.1023)/Factors!A7))</f>
        <v>3.2515096235391434</v>
      </c>
    </row>
    <row r="104" spans="1:3" x14ac:dyDescent="0.2">
      <c r="A104" t="s">
        <v>757</v>
      </c>
      <c r="B104">
        <f>((('User Input'!L81/2000/1.1023)/Factors!G6))</f>
        <v>8128.7740588478591</v>
      </c>
    </row>
    <row r="106" spans="1:3" x14ac:dyDescent="0.2">
      <c r="B106" s="1"/>
      <c r="C106" s="1"/>
    </row>
    <row r="107" spans="1:3" x14ac:dyDescent="0.2">
      <c r="B107" s="1"/>
      <c r="C107" s="1"/>
    </row>
    <row r="108" spans="1:3" x14ac:dyDescent="0.2">
      <c r="A108" s="350" t="s">
        <v>758</v>
      </c>
      <c r="B108" s="352" t="s">
        <v>597</v>
      </c>
      <c r="C108" s="352" t="s">
        <v>62</v>
      </c>
    </row>
    <row r="109" spans="1:3" x14ac:dyDescent="0.2">
      <c r="A109" s="350" t="s">
        <v>759</v>
      </c>
      <c r="B109" s="347">
        <f>'User Input'!F79</f>
        <v>10.281449733364269</v>
      </c>
      <c r="C109" s="347">
        <f>'User Input'!I79</f>
        <v>11.777151710377476</v>
      </c>
    </row>
    <row r="110" spans="1:3" x14ac:dyDescent="0.2">
      <c r="A110" s="350" t="s">
        <v>760</v>
      </c>
      <c r="B110" s="347">
        <f>'User Input'!F80</f>
        <v>8.2106788715740002</v>
      </c>
      <c r="C110" s="347">
        <f>'User Input'!I80</f>
        <v>5.6131173200386901E-2</v>
      </c>
    </row>
    <row r="111" spans="1:3" x14ac:dyDescent="0.2">
      <c r="A111" s="350"/>
      <c r="B111" s="352" t="s">
        <v>597</v>
      </c>
      <c r="C111" s="352" t="s">
        <v>62</v>
      </c>
    </row>
    <row r="112" spans="1:3" x14ac:dyDescent="0.2">
      <c r="A112" s="350" t="s">
        <v>761</v>
      </c>
      <c r="B112" s="347">
        <f>'User Input'!F81</f>
        <v>18394.512756131779</v>
      </c>
      <c r="C112" s="347">
        <f>'User Input'!I81</f>
        <v>11226.234640077382</v>
      </c>
    </row>
    <row r="113" spans="1:4" x14ac:dyDescent="0.2">
      <c r="B113" s="1"/>
      <c r="C113" s="1"/>
    </row>
    <row r="114" spans="1:4" x14ac:dyDescent="0.2">
      <c r="B114" s="1"/>
      <c r="C114" s="1"/>
    </row>
    <row r="115" spans="1:4" x14ac:dyDescent="0.2">
      <c r="A115" s="2" t="s">
        <v>762</v>
      </c>
    </row>
    <row r="116" spans="1:4" x14ac:dyDescent="0.2">
      <c r="A116" t="s">
        <v>7</v>
      </c>
      <c r="B116" s="39">
        <f>VLOOKUP(state,'Residential Prices'!$B$5:$F$67,4,0)</f>
        <v>16</v>
      </c>
      <c r="C116" t="s">
        <v>763</v>
      </c>
    </row>
    <row r="117" spans="1:4" x14ac:dyDescent="0.2">
      <c r="A117" t="s">
        <v>6</v>
      </c>
      <c r="B117" s="39">
        <f>VLOOKUP(state,'Residential Prices'!$B$5:$F$67,5,0)</f>
        <v>14.83</v>
      </c>
      <c r="C117" t="s">
        <v>764</v>
      </c>
    </row>
    <row r="118" spans="1:4" x14ac:dyDescent="0.2">
      <c r="A118" t="s">
        <v>8</v>
      </c>
      <c r="B118" s="39">
        <f>_xlfn.XLOOKUP(state,'Residential Prices'!B5:B67,'Residential Prices'!G5:G67)</f>
        <v>4.28</v>
      </c>
      <c r="C118" t="s">
        <v>765</v>
      </c>
    </row>
    <row r="119" spans="1:4" x14ac:dyDescent="0.2">
      <c r="A119" t="s">
        <v>9</v>
      </c>
      <c r="B119" s="39">
        <f>_xlfn.XLOOKUP(state,'Residential Prices'!B5:B67,'Residential Prices'!H5:H67)</f>
        <v>2.56</v>
      </c>
      <c r="C119" t="s">
        <v>765</v>
      </c>
    </row>
    <row r="120" spans="1:4" x14ac:dyDescent="0.2">
      <c r="A120" s="317" t="s">
        <v>766</v>
      </c>
      <c r="B120">
        <f>'User Input'!I14</f>
        <v>17</v>
      </c>
      <c r="C120" t="s">
        <v>763</v>
      </c>
    </row>
    <row r="121" spans="1:4" x14ac:dyDescent="0.2">
      <c r="A121" s="317" t="s">
        <v>767</v>
      </c>
      <c r="B121" s="39">
        <f>'User Input'!F14</f>
        <v>14.1</v>
      </c>
      <c r="C121" t="s">
        <v>764</v>
      </c>
    </row>
    <row r="122" spans="1:4" x14ac:dyDescent="0.2">
      <c r="A122" s="317" t="s">
        <v>768</v>
      </c>
      <c r="B122" s="39">
        <f>'User Input'!L14</f>
        <v>4.0999999999999996</v>
      </c>
      <c r="C122" t="s">
        <v>765</v>
      </c>
    </row>
    <row r="123" spans="1:4" x14ac:dyDescent="0.2">
      <c r="A123" s="317" t="s">
        <v>769</v>
      </c>
      <c r="B123" s="39">
        <f>'User Input'!O14</f>
        <v>3</v>
      </c>
      <c r="C123" t="s">
        <v>765</v>
      </c>
    </row>
    <row r="125" spans="1:4" x14ac:dyDescent="0.2">
      <c r="A125" s="317" t="s">
        <v>770</v>
      </c>
      <c r="B125">
        <f>IF(AND(Erates=2,B120&gt;=0),B120,B116)</f>
        <v>16</v>
      </c>
      <c r="C125" t="s">
        <v>763</v>
      </c>
      <c r="D125" s="317"/>
    </row>
    <row r="126" spans="1:4" x14ac:dyDescent="0.2">
      <c r="A126" s="317" t="s">
        <v>771</v>
      </c>
      <c r="B126">
        <f>IF(AND(NGrates=2,B121&gt;=0),B121,B117)</f>
        <v>14.83</v>
      </c>
      <c r="C126" t="s">
        <v>764</v>
      </c>
    </row>
    <row r="127" spans="1:4" x14ac:dyDescent="0.2">
      <c r="A127" s="317" t="s">
        <v>772</v>
      </c>
      <c r="B127">
        <f>IF(AND(Orates=2,B122&gt;=0),B122,B118)</f>
        <v>4.28</v>
      </c>
      <c r="C127" t="s">
        <v>765</v>
      </c>
    </row>
    <row r="128" spans="1:4" x14ac:dyDescent="0.2">
      <c r="A128" s="317" t="s">
        <v>773</v>
      </c>
      <c r="B128">
        <f>IF(AND(Prates=2,B123&gt;=0),B123,B119)</f>
        <v>2.56</v>
      </c>
      <c r="C128" t="s">
        <v>765</v>
      </c>
    </row>
    <row r="130" spans="1:8" x14ac:dyDescent="0.2">
      <c r="A130" s="2" t="s">
        <v>774</v>
      </c>
    </row>
    <row r="131" spans="1:8" x14ac:dyDescent="0.2">
      <c r="A131" s="317" t="s">
        <v>775</v>
      </c>
      <c r="B131" s="39">
        <f>B76*B126</f>
        <v>1415.1230075549545</v>
      </c>
      <c r="C131" t="s">
        <v>776</v>
      </c>
      <c r="G131" s="2" t="s">
        <v>777</v>
      </c>
    </row>
    <row r="132" spans="1:8" x14ac:dyDescent="0.2">
      <c r="A132" t="s">
        <v>778</v>
      </c>
      <c r="B132" s="323">
        <f>B77*B125*10</f>
        <v>2194.1482585906392</v>
      </c>
      <c r="C132" t="s">
        <v>776</v>
      </c>
      <c r="F132" t="s">
        <v>1156</v>
      </c>
      <c r="G132" s="2" t="s">
        <v>31</v>
      </c>
      <c r="H132" s="2" t="s">
        <v>779</v>
      </c>
    </row>
    <row r="133" spans="1:8" x14ac:dyDescent="0.2">
      <c r="A133" t="s">
        <v>780</v>
      </c>
      <c r="B133" s="323">
        <f>E76*B127</f>
        <v>0</v>
      </c>
      <c r="C133" t="s">
        <v>776</v>
      </c>
      <c r="D133" t="s">
        <v>67</v>
      </c>
      <c r="E133" t="s">
        <v>62</v>
      </c>
      <c r="F133" s="2" t="s">
        <v>40</v>
      </c>
      <c r="G133" s="44" cm="1">
        <f t="array" ref="G133">_xlfn.IFS(heattype=1,B17*$B$125*10,heattype=2,G11*B127,heattype=3,G17*B128,heattype=4,J10*B126)</f>
        <v>1180.4986249360509</v>
      </c>
      <c r="H133" s="44">
        <f>B10*B126</f>
        <v>920.1760681760959</v>
      </c>
    </row>
    <row r="134" spans="1:8" x14ac:dyDescent="0.2">
      <c r="A134" t="s">
        <v>781</v>
      </c>
      <c r="B134" s="323">
        <f>I76*B128</f>
        <v>0</v>
      </c>
      <c r="C134" t="s">
        <v>776</v>
      </c>
      <c r="D134" t="s">
        <v>782</v>
      </c>
      <c r="E134" t="s">
        <v>783</v>
      </c>
      <c r="F134" s="2" t="s">
        <v>15</v>
      </c>
      <c r="G134" s="44" cm="1">
        <f t="array" ref="G134">_xlfn.IFS(wheattype=1,B36*B125*10,wheattype=2,G29*B127,wheattype=3,G38*B128,wheattype=4,J28*B126)</f>
        <v>832.30567307202205</v>
      </c>
      <c r="H134" s="44">
        <f>B31*B126</f>
        <v>417.51576577586218</v>
      </c>
    </row>
    <row r="135" spans="1:8" x14ac:dyDescent="0.2">
      <c r="A135" s="317" t="s">
        <v>784</v>
      </c>
      <c r="B135" s="42">
        <f>I79*B126</f>
        <v>0</v>
      </c>
      <c r="C135" t="s">
        <v>776</v>
      </c>
      <c r="D135" s="42">
        <f>+B10</f>
        <v>62.048285109649086</v>
      </c>
      <c r="E135" s="42">
        <f>+B17*1000</f>
        <v>7378.1164058503173</v>
      </c>
      <c r="F135" s="2" t="s">
        <v>710</v>
      </c>
      <c r="G135" s="44" cm="1">
        <f t="array" ref="G135">_xlfn.IFS(dtype=1,E137*$B$125/100,dtype=2,G43*B128,dtype=3,H135)</f>
        <v>124.91152815013403</v>
      </c>
      <c r="H135" s="44">
        <f>+D137*$B$126</f>
        <v>55.186173602996256</v>
      </c>
    </row>
    <row r="136" spans="1:8" x14ac:dyDescent="0.2">
      <c r="D136" s="43">
        <f>+B31</f>
        <v>28.153456896551731</v>
      </c>
      <c r="E136">
        <f>+B36*1000</f>
        <v>5201.9104567001377</v>
      </c>
      <c r="F136" s="2" t="s">
        <v>26</v>
      </c>
      <c r="G136" s="44" cm="1">
        <f t="array" ref="G136">_xlfn.IFS(ctype=1,B67*B125*10,ctype=2,G60*B128,ctype=3,H136)</f>
        <v>56.432432432432435</v>
      </c>
      <c r="H136" s="44">
        <f>+D138*$B$126</f>
        <v>22.245000000000001</v>
      </c>
    </row>
    <row r="137" spans="1:8" x14ac:dyDescent="0.2">
      <c r="D137" s="42">
        <f>+B48</f>
        <v>3.7212524344569289</v>
      </c>
      <c r="E137">
        <f>+B53*1000</f>
        <v>780.69705093833772</v>
      </c>
      <c r="F137" s="2" t="s">
        <v>729</v>
      </c>
      <c r="G137" s="45">
        <f>SUM(G133:G136)</f>
        <v>2194.1482585906397</v>
      </c>
      <c r="H137" s="45">
        <f>SUM(H133:H136)</f>
        <v>1415.123007554954</v>
      </c>
    </row>
    <row r="138" spans="1:8" x14ac:dyDescent="0.2">
      <c r="D138">
        <f>+B60</f>
        <v>1.5</v>
      </c>
      <c r="E138">
        <f>+B67*1000</f>
        <v>352.70270270270271</v>
      </c>
    </row>
    <row r="140" spans="1:8" x14ac:dyDescent="0.2">
      <c r="E140" s="42"/>
    </row>
    <row r="141" spans="1:8" x14ac:dyDescent="0.2">
      <c r="G141" s="2" t="s">
        <v>785</v>
      </c>
    </row>
    <row r="142" spans="1:8" x14ac:dyDescent="0.2">
      <c r="F142" t="s">
        <v>1156</v>
      </c>
      <c r="G142" s="2" t="s">
        <v>31</v>
      </c>
      <c r="H142" s="2" t="s">
        <v>779</v>
      </c>
    </row>
    <row r="143" spans="1:8" x14ac:dyDescent="0.2">
      <c r="F143" s="2" t="s">
        <v>759</v>
      </c>
      <c r="G143" s="25">
        <f>'Carbon Calculator'!E132</f>
        <v>10.281449733364269</v>
      </c>
      <c r="H143" s="25">
        <f>'Carbon Calculator'!I132</f>
        <v>11.777151710377476</v>
      </c>
    </row>
    <row r="144" spans="1:8" x14ac:dyDescent="0.2">
      <c r="F144" s="2" t="s">
        <v>760</v>
      </c>
      <c r="G144" s="25">
        <f>'Carbon Calculator'!E131</f>
        <v>8.2106788715740002</v>
      </c>
      <c r="H144" s="25">
        <f>'Carbon Calculator'!I131</f>
        <v>5.6131173200386901E-2</v>
      </c>
    </row>
    <row r="145" spans="6:8" x14ac:dyDescent="0.2">
      <c r="F145" s="2" t="s">
        <v>729</v>
      </c>
      <c r="G145" s="426">
        <f>SUM(G143:G144)</f>
        <v>18.492128604938269</v>
      </c>
      <c r="H145" s="426">
        <f>SUM(H143:H144)</f>
        <v>11.833282883577862</v>
      </c>
    </row>
    <row r="147" spans="6:8" x14ac:dyDescent="0.2">
      <c r="F147" s="2"/>
    </row>
    <row r="148" spans="6:8" x14ac:dyDescent="0.2">
      <c r="F148" s="2"/>
      <c r="G148" s="2" t="s">
        <v>684</v>
      </c>
    </row>
    <row r="149" spans="6:8" x14ac:dyDescent="0.2">
      <c r="F149" t="s">
        <v>1156</v>
      </c>
      <c r="G149" s="2" t="s">
        <v>31</v>
      </c>
      <c r="H149" s="2" t="s">
        <v>779</v>
      </c>
    </row>
    <row r="150" spans="6:8" x14ac:dyDescent="0.2">
      <c r="F150" s="2" t="s">
        <v>40</v>
      </c>
      <c r="G150" s="357" cm="1">
        <f t="array" ref="G150">_xlfn.IFS(heattype=1,B20,heattype=2,G12,heattype=3,G18,heattype=4,J11)</f>
        <v>9896.64072606021</v>
      </c>
      <c r="H150" s="357">
        <f>B11</f>
        <v>7299.7982481940098</v>
      </c>
    </row>
    <row r="151" spans="6:8" x14ac:dyDescent="0.2">
      <c r="F151" s="2" t="s">
        <v>15</v>
      </c>
      <c r="G151" s="357" cm="1">
        <f t="array" ref="G151">_xlfn.IFS(wheattype=1,B39,wheattype=2,G30,wheattype=3,G39,wheattype=4,J29)</f>
        <v>6977.585612267646</v>
      </c>
      <c r="H151" s="357">
        <f>B32</f>
        <v>3312.171399594321</v>
      </c>
    </row>
    <row r="152" spans="6:8" x14ac:dyDescent="0.2">
      <c r="F152" s="2" t="s">
        <v>710</v>
      </c>
      <c r="G152" s="357" cm="1">
        <f t="array" ref="G152">_xlfn.IFS(dtype=1,B56,dtype=2,G44,dtype=3,B49)</f>
        <v>1047.1884426904774</v>
      </c>
      <c r="H152" s="357">
        <f>B49</f>
        <v>437.7944040537563</v>
      </c>
    </row>
    <row r="153" spans="6:8" x14ac:dyDescent="0.2">
      <c r="F153" s="2" t="s">
        <v>26</v>
      </c>
      <c r="G153" s="357" cm="1">
        <f t="array" ref="G153">_xlfn.IFS(ctype=1,B70,ctype=2,G61,ctype=3,G67)</f>
        <v>473.09797511344505</v>
      </c>
      <c r="H153" s="357">
        <f>IF('User Input'!F55="No",0,176)</f>
        <v>176</v>
      </c>
    </row>
    <row r="154" spans="6:8" x14ac:dyDescent="0.2">
      <c r="F154" s="2" t="s">
        <v>729</v>
      </c>
      <c r="G154" s="425">
        <f>SUM(G150:G153)</f>
        <v>18394.512756131775</v>
      </c>
      <c r="H154" s="425">
        <f>SUM(H150:H153)</f>
        <v>11225.764051842087</v>
      </c>
    </row>
  </sheetData>
  <phoneticPr fontId="0" type="noConversion"/>
  <pageMargins left="0.75" right="0.75" top="1" bottom="1" header="0.5" footer="0.5"/>
  <pageSetup orientation="landscape" horizontalDpi="0" verticalDpi="0" r:id="rId1"/>
  <headerFooter alignWithMargins="0"/>
  <ignoredErrors>
    <ignoredError sqref="B5:B6 B109:C112 B29 B33 B40:B48 B9:B10 B16 B21 B23:B26 B57:B59 B71:B79 B12 B50:B51 B61:B62 B64:B65 B91 B86:B87 B96:B97 B100" unlockedFormula="1"/>
  </ignoredError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B81FFB-81B5-4B66-B64C-D739E0729C61}">
  <sheetPr codeName="Sheet6"/>
  <dimension ref="A1:T33"/>
  <sheetViews>
    <sheetView topLeftCell="A7" workbookViewId="0">
      <selection activeCell="F52" sqref="F52"/>
    </sheetView>
  </sheetViews>
  <sheetFormatPr defaultColWidth="9.140625" defaultRowHeight="12.75" x14ac:dyDescent="0.2"/>
  <cols>
    <col min="1" max="1" width="11.28515625" style="9" customWidth="1"/>
    <col min="2" max="2" width="12.7109375" style="3" customWidth="1"/>
    <col min="3" max="6" width="9.140625" style="3"/>
    <col min="7" max="7" width="9.5703125" style="3" bestFit="1" customWidth="1"/>
    <col min="8" max="10" width="9.140625" style="3"/>
    <col min="11" max="11" width="8.5703125" style="3" customWidth="1"/>
    <col min="12" max="20" width="9.140625" style="3"/>
    <col min="21" max="16384" width="9.140625" style="4"/>
  </cols>
  <sheetData>
    <row r="1" spans="1:8" x14ac:dyDescent="0.2">
      <c r="A1" s="8" t="s">
        <v>610</v>
      </c>
      <c r="B1" s="317"/>
      <c r="C1" s="317"/>
      <c r="D1" s="317"/>
      <c r="E1" s="317"/>
      <c r="F1" s="317"/>
      <c r="G1" s="317"/>
      <c r="H1" s="317"/>
    </row>
    <row r="3" spans="1:8" x14ac:dyDescent="0.2">
      <c r="A3" s="8" t="s">
        <v>611</v>
      </c>
      <c r="B3" s="317"/>
      <c r="C3" s="317"/>
      <c r="D3" s="317"/>
      <c r="E3" s="317"/>
      <c r="F3" s="317"/>
      <c r="G3" s="317"/>
      <c r="H3" s="317"/>
    </row>
    <row r="4" spans="1:8" x14ac:dyDescent="0.2">
      <c r="A4" s="409">
        <f>12/44</f>
        <v>0.27272727272727271</v>
      </c>
      <c r="B4" s="317"/>
      <c r="C4" s="317" t="s">
        <v>612</v>
      </c>
      <c r="D4" s="317"/>
      <c r="E4" s="317"/>
      <c r="F4" s="317"/>
      <c r="G4" s="317"/>
      <c r="H4" s="317"/>
    </row>
    <row r="5" spans="1:8" x14ac:dyDescent="0.2">
      <c r="A5" s="410">
        <f>2000/2206</f>
        <v>0.90661831368993651</v>
      </c>
      <c r="B5" s="317"/>
      <c r="C5" s="317" t="s">
        <v>613</v>
      </c>
      <c r="D5" s="317"/>
      <c r="E5" s="317"/>
      <c r="F5" s="317"/>
      <c r="G5" s="317"/>
      <c r="H5" s="317"/>
    </row>
    <row r="6" spans="1:8" x14ac:dyDescent="0.2">
      <c r="A6" s="411">
        <v>4.5999999999999996</v>
      </c>
      <c r="B6" s="317"/>
      <c r="C6" s="317" t="s">
        <v>614</v>
      </c>
      <c r="D6" s="317"/>
      <c r="E6" s="317"/>
      <c r="F6" s="317"/>
      <c r="G6" s="478">
        <f>A6/11500</f>
        <v>3.9999999999999996E-4</v>
      </c>
      <c r="H6" s="317" t="s">
        <v>615</v>
      </c>
    </row>
    <row r="7" spans="1:8" x14ac:dyDescent="0.2">
      <c r="A7" s="410">
        <v>1</v>
      </c>
      <c r="B7" s="317"/>
      <c r="C7" s="317" t="s">
        <v>616</v>
      </c>
      <c r="D7" s="317"/>
      <c r="E7" s="317"/>
      <c r="F7" s="317"/>
      <c r="G7" s="317"/>
      <c r="H7" s="317"/>
    </row>
    <row r="8" spans="1:8" x14ac:dyDescent="0.2">
      <c r="A8" s="412">
        <v>2000</v>
      </c>
      <c r="B8" s="317"/>
      <c r="C8" s="317" t="s">
        <v>617</v>
      </c>
      <c r="D8" s="317"/>
      <c r="E8" s="317"/>
      <c r="F8" s="317"/>
      <c r="G8" s="317"/>
      <c r="H8" s="317"/>
    </row>
    <row r="9" spans="1:8" x14ac:dyDescent="0.2">
      <c r="A9" s="413">
        <v>2.8299999999999999E-2</v>
      </c>
      <c r="B9" s="317"/>
      <c r="C9" s="317" t="s">
        <v>618</v>
      </c>
      <c r="D9" s="317"/>
      <c r="E9" s="317"/>
      <c r="F9" s="317"/>
      <c r="G9" s="317"/>
      <c r="H9" s="317"/>
    </row>
    <row r="11" spans="1:8" ht="15.75" x14ac:dyDescent="0.25">
      <c r="A11" s="8" t="s">
        <v>597</v>
      </c>
      <c r="B11" s="317"/>
      <c r="C11" s="317"/>
      <c r="D11" s="317"/>
      <c r="E11" s="317"/>
      <c r="F11" s="6"/>
      <c r="G11" s="317"/>
      <c r="H11" s="317"/>
    </row>
    <row r="12" spans="1:8" x14ac:dyDescent="0.2">
      <c r="A12" s="317">
        <v>0.42380000000000001</v>
      </c>
      <c r="B12" s="317"/>
      <c r="C12" s="317" t="s">
        <v>619</v>
      </c>
      <c r="D12" s="317"/>
      <c r="E12" s="317"/>
      <c r="F12" s="317"/>
      <c r="G12" s="317"/>
      <c r="H12" s="317"/>
    </row>
    <row r="13" spans="1:8" x14ac:dyDescent="0.2">
      <c r="A13" s="317">
        <v>1020</v>
      </c>
      <c r="B13" s="317"/>
      <c r="C13" s="317" t="s">
        <v>620</v>
      </c>
      <c r="D13" s="317"/>
      <c r="E13" s="317"/>
      <c r="F13" s="317"/>
      <c r="G13" s="317"/>
      <c r="H13" s="317"/>
    </row>
    <row r="14" spans="1:8" x14ac:dyDescent="0.2">
      <c r="A14" s="414">
        <v>7.0967437470559683E-7</v>
      </c>
      <c r="B14" s="317"/>
      <c r="C14" s="317" t="s">
        <v>621</v>
      </c>
      <c r="D14" s="317"/>
      <c r="E14" s="317"/>
      <c r="F14" s="317"/>
      <c r="G14" s="317"/>
      <c r="H14" s="317"/>
    </row>
    <row r="15" spans="1:8" x14ac:dyDescent="0.2">
      <c r="A15" s="412">
        <v>117</v>
      </c>
      <c r="B15" s="317"/>
      <c r="C15" s="317" t="s">
        <v>622</v>
      </c>
      <c r="D15" s="317"/>
      <c r="E15" s="317"/>
      <c r="F15" s="317"/>
      <c r="G15" s="317"/>
      <c r="H15" s="317"/>
    </row>
    <row r="17" spans="1:5" x14ac:dyDescent="0.2">
      <c r="A17" s="567" t="s">
        <v>64</v>
      </c>
      <c r="B17" s="567"/>
      <c r="C17" s="317"/>
      <c r="D17" s="317"/>
      <c r="E17" s="317"/>
    </row>
    <row r="23" spans="1:5" x14ac:dyDescent="0.2">
      <c r="A23" s="412" t="s">
        <v>623</v>
      </c>
      <c r="B23" s="317"/>
      <c r="C23" s="317"/>
      <c r="D23" s="317"/>
      <c r="E23" s="317"/>
    </row>
    <row r="24" spans="1:5" x14ac:dyDescent="0.2">
      <c r="A24" s="412">
        <v>7</v>
      </c>
      <c r="B24" s="317"/>
      <c r="C24" s="317" t="s">
        <v>624</v>
      </c>
      <c r="D24" s="317"/>
      <c r="E24" s="317" t="s">
        <v>625</v>
      </c>
    </row>
    <row r="25" spans="1:5" x14ac:dyDescent="0.2">
      <c r="A25" s="412">
        <v>416</v>
      </c>
      <c r="B25" s="317"/>
      <c r="C25" s="317" t="s">
        <v>626</v>
      </c>
      <c r="D25" s="317"/>
      <c r="E25" s="317" t="s">
        <v>625</v>
      </c>
    </row>
    <row r="28" spans="1:5" x14ac:dyDescent="0.2">
      <c r="A28" s="412" t="s">
        <v>627</v>
      </c>
      <c r="B28" s="317"/>
      <c r="C28" s="317"/>
      <c r="D28" s="317"/>
      <c r="E28" s="317"/>
    </row>
    <row r="29" spans="1:5" x14ac:dyDescent="0.2">
      <c r="A29" s="415">
        <v>7.0000000000000007E-2</v>
      </c>
      <c r="B29" s="317"/>
      <c r="C29" s="317" t="s">
        <v>628</v>
      </c>
      <c r="D29" s="317"/>
      <c r="E29" s="317"/>
    </row>
    <row r="33" spans="1:1" x14ac:dyDescent="0.2">
      <c r="A33" s="416"/>
    </row>
  </sheetData>
  <mergeCells count="1">
    <mergeCell ref="A17:B17"/>
  </mergeCells>
  <phoneticPr fontId="0" type="noConversion"/>
  <pageMargins left="0.75" right="0.75" top="1" bottom="1" header="0.5" footer="0.5"/>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EB8607-BCBC-47A2-8851-42C7D1142560}">
  <sheetPr codeName="Sheet9"/>
  <dimension ref="B2:J67"/>
  <sheetViews>
    <sheetView topLeftCell="A10" zoomScaleNormal="100" workbookViewId="0">
      <selection activeCell="F52" sqref="F52"/>
    </sheetView>
  </sheetViews>
  <sheetFormatPr defaultRowHeight="12.75" x14ac:dyDescent="0.2"/>
  <cols>
    <col min="3" max="3" width="21" customWidth="1"/>
    <col min="5" max="6" width="18.5703125" customWidth="1"/>
    <col min="7" max="7" width="15.7109375" customWidth="1"/>
    <col min="8" max="8" width="18.5703125" customWidth="1"/>
    <col min="9" max="9" width="19.85546875" customWidth="1"/>
  </cols>
  <sheetData>
    <row r="2" spans="2:10" ht="15.75" x14ac:dyDescent="0.25">
      <c r="B2" s="36" t="s">
        <v>629</v>
      </c>
      <c r="H2" s="317"/>
    </row>
    <row r="4" spans="2:10" ht="51" x14ac:dyDescent="0.2">
      <c r="B4" s="38" t="s">
        <v>630</v>
      </c>
      <c r="C4" s="38" t="s">
        <v>631</v>
      </c>
      <c r="D4" s="38" t="s">
        <v>632</v>
      </c>
      <c r="E4" s="16" t="s">
        <v>633</v>
      </c>
      <c r="F4" s="16" t="s">
        <v>634</v>
      </c>
      <c r="G4" s="16" t="s">
        <v>635</v>
      </c>
      <c r="H4" s="16" t="s">
        <v>636</v>
      </c>
      <c r="J4" s="2" t="s">
        <v>637</v>
      </c>
    </row>
    <row r="5" spans="2:10" x14ac:dyDescent="0.2">
      <c r="B5" s="23">
        <f>VLOOKUP(C5,Lists!$B$21:$F$83,5,0)</f>
        <v>3</v>
      </c>
      <c r="C5" s="23" t="s">
        <v>90</v>
      </c>
      <c r="D5" s="23" t="s">
        <v>91</v>
      </c>
      <c r="E5" s="37">
        <v>14.63</v>
      </c>
      <c r="F5" s="37">
        <v>19.36</v>
      </c>
      <c r="G5" s="37">
        <v>4.28</v>
      </c>
      <c r="H5" s="37">
        <v>3.24</v>
      </c>
      <c r="J5" s="317" t="s">
        <v>638</v>
      </c>
    </row>
    <row r="6" spans="2:10" x14ac:dyDescent="0.2">
      <c r="B6" s="23">
        <f>VLOOKUP(C6,Lists!$B$21:$F$83,5,0)</f>
        <v>2</v>
      </c>
      <c r="C6" s="23" t="s">
        <v>87</v>
      </c>
      <c r="D6" s="23" t="s">
        <v>88</v>
      </c>
      <c r="E6" s="37">
        <v>23.9</v>
      </c>
      <c r="F6" s="37">
        <v>10.97</v>
      </c>
      <c r="G6" s="37">
        <v>4.28</v>
      </c>
      <c r="H6" s="37">
        <v>2.56</v>
      </c>
      <c r="J6" s="317" t="s">
        <v>639</v>
      </c>
    </row>
    <row r="7" spans="2:10" x14ac:dyDescent="0.2">
      <c r="B7" s="23">
        <f>VLOOKUP(C7,Lists!$B$21:$F$83,5,0)</f>
        <v>54</v>
      </c>
      <c r="C7" s="23" t="s">
        <v>200</v>
      </c>
      <c r="D7" s="23" t="s">
        <v>201</v>
      </c>
      <c r="E7" s="37">
        <v>19.091999999999999</v>
      </c>
      <c r="F7" s="37">
        <v>9.14</v>
      </c>
      <c r="G7" s="37">
        <v>4.16</v>
      </c>
      <c r="H7" s="37">
        <v>3.5</v>
      </c>
      <c r="J7" s="40" t="s">
        <v>640</v>
      </c>
    </row>
    <row r="8" spans="2:10" x14ac:dyDescent="0.2">
      <c r="B8" s="23">
        <f>VLOOKUP(C8,Lists!$B$21:$F$83,5,0)</f>
        <v>5</v>
      </c>
      <c r="C8" s="23" t="s">
        <v>96</v>
      </c>
      <c r="D8" s="23" t="s">
        <v>97</v>
      </c>
      <c r="E8" s="37">
        <v>14.02</v>
      </c>
      <c r="F8" s="37">
        <v>18.73</v>
      </c>
      <c r="G8" s="37">
        <v>4.28</v>
      </c>
      <c r="H8" s="37">
        <v>2.56</v>
      </c>
    </row>
    <row r="9" spans="2:10" x14ac:dyDescent="0.2">
      <c r="B9" s="23">
        <f>VLOOKUP(C9,Lists!$B$21:$F$83,5,0)</f>
        <v>4</v>
      </c>
      <c r="C9" s="23" t="s">
        <v>93</v>
      </c>
      <c r="D9" s="23" t="s">
        <v>94</v>
      </c>
      <c r="E9" s="37">
        <v>12.25</v>
      </c>
      <c r="F9" s="37">
        <v>17.21</v>
      </c>
      <c r="G9" s="37">
        <v>4.28</v>
      </c>
      <c r="H9" s="37">
        <v>2.38</v>
      </c>
      <c r="J9" s="317" t="s">
        <v>641</v>
      </c>
    </row>
    <row r="10" spans="2:10" x14ac:dyDescent="0.2">
      <c r="B10" s="23">
        <f>VLOOKUP(C10,Lists!$B$21:$F$83,5,0)</f>
        <v>55</v>
      </c>
      <c r="C10" s="23" t="s">
        <v>202</v>
      </c>
      <c r="D10" s="23" t="s">
        <v>203</v>
      </c>
      <c r="E10" s="37">
        <v>8.4359999999999999</v>
      </c>
      <c r="F10" s="37">
        <v>9.14</v>
      </c>
      <c r="G10" s="37">
        <v>4.16</v>
      </c>
      <c r="H10" s="37">
        <v>3.5</v>
      </c>
      <c r="J10" s="40" t="s">
        <v>642</v>
      </c>
    </row>
    <row r="11" spans="2:10" x14ac:dyDescent="0.2">
      <c r="B11" s="23">
        <f>VLOOKUP(C11,Lists!$B$21:$F$83,5,0)</f>
        <v>6</v>
      </c>
      <c r="C11" s="23" t="s">
        <v>99</v>
      </c>
      <c r="D11" s="23" t="s">
        <v>643</v>
      </c>
      <c r="E11" s="37">
        <v>29.51</v>
      </c>
      <c r="F11" s="37">
        <v>21.05</v>
      </c>
      <c r="G11" s="37">
        <v>4.28</v>
      </c>
      <c r="H11" s="37">
        <v>2.56</v>
      </c>
    </row>
    <row r="12" spans="2:10" x14ac:dyDescent="0.2">
      <c r="B12" s="23">
        <f>VLOOKUP(C12,Lists!$B$21:$F$83,5,0)</f>
        <v>53</v>
      </c>
      <c r="C12" s="23" t="s">
        <v>198</v>
      </c>
      <c r="D12" s="23" t="s">
        <v>100</v>
      </c>
      <c r="E12" s="37">
        <v>11.47</v>
      </c>
      <c r="F12" s="37">
        <v>9.14</v>
      </c>
      <c r="G12" s="37">
        <v>4.16</v>
      </c>
      <c r="H12" s="37">
        <v>3.5</v>
      </c>
      <c r="J12" s="317" t="s">
        <v>644</v>
      </c>
    </row>
    <row r="13" spans="2:10" x14ac:dyDescent="0.2">
      <c r="B13" s="23">
        <f>VLOOKUP(C13,Lists!$B$21:$F$83,5,0)</f>
        <v>7</v>
      </c>
      <c r="C13" s="23" t="s">
        <v>101</v>
      </c>
      <c r="D13" s="23" t="s">
        <v>645</v>
      </c>
      <c r="E13" s="37">
        <v>14.3</v>
      </c>
      <c r="F13" s="37">
        <v>11.45</v>
      </c>
      <c r="G13" s="37">
        <v>4.28</v>
      </c>
      <c r="H13" s="37">
        <v>2.34</v>
      </c>
      <c r="J13" s="40" t="s">
        <v>646</v>
      </c>
    </row>
    <row r="14" spans="2:10" x14ac:dyDescent="0.2">
      <c r="B14" s="23">
        <f>VLOOKUP(C14,Lists!$B$21:$F$83,5,0)</f>
        <v>8</v>
      </c>
      <c r="C14" s="23" t="s">
        <v>103</v>
      </c>
      <c r="D14" s="23" t="s">
        <v>104</v>
      </c>
      <c r="E14" s="37">
        <v>29.88</v>
      </c>
      <c r="F14" s="37">
        <v>18.190000000000001</v>
      </c>
      <c r="G14" s="37">
        <v>4.16</v>
      </c>
      <c r="H14" s="37">
        <v>3.7</v>
      </c>
    </row>
    <row r="15" spans="2:10" x14ac:dyDescent="0.2">
      <c r="B15" s="23">
        <f>VLOOKUP(C15,Lists!$B$21:$F$83,5,0)</f>
        <v>10</v>
      </c>
      <c r="C15" s="23" t="s">
        <v>109</v>
      </c>
      <c r="D15" s="23" t="s">
        <v>647</v>
      </c>
      <c r="E15" s="37">
        <v>15.73</v>
      </c>
      <c r="F15" s="37">
        <v>17.04</v>
      </c>
      <c r="G15" s="37">
        <v>4.67</v>
      </c>
      <c r="H15" s="37">
        <v>3.47</v>
      </c>
      <c r="J15" s="317" t="s">
        <v>648</v>
      </c>
    </row>
    <row r="16" spans="2:10" x14ac:dyDescent="0.2">
      <c r="B16" s="23">
        <f>VLOOKUP(C16,Lists!$B$21:$F$83,5,0)</f>
        <v>9</v>
      </c>
      <c r="C16" s="23" t="s">
        <v>106</v>
      </c>
      <c r="D16" s="23" t="s">
        <v>107</v>
      </c>
      <c r="E16" s="37">
        <v>16.45</v>
      </c>
      <c r="F16" s="37">
        <v>16.18</v>
      </c>
      <c r="G16" s="37">
        <v>4.28</v>
      </c>
      <c r="H16" s="37">
        <v>2.56</v>
      </c>
      <c r="J16" s="314" t="s">
        <v>649</v>
      </c>
    </row>
    <row r="17" spans="2:10" x14ac:dyDescent="0.2">
      <c r="B17" s="23">
        <f>VLOOKUP(C17,Lists!$B$21:$F$83,5,0)</f>
        <v>11</v>
      </c>
      <c r="C17" s="23" t="s">
        <v>111</v>
      </c>
      <c r="D17" s="23" t="s">
        <v>112</v>
      </c>
      <c r="E17" s="37">
        <v>15.21</v>
      </c>
      <c r="F17" s="37">
        <v>24.25</v>
      </c>
      <c r="G17" s="37">
        <v>4.28</v>
      </c>
      <c r="H17" s="37">
        <v>4.72</v>
      </c>
    </row>
    <row r="18" spans="2:10" x14ac:dyDescent="0.2">
      <c r="B18" s="23">
        <f>VLOOKUP(C18,Lists!$B$21:$F$83,5,0)</f>
        <v>12</v>
      </c>
      <c r="C18" s="23" t="s">
        <v>113</v>
      </c>
      <c r="D18" s="23" t="s">
        <v>114</v>
      </c>
      <c r="E18" s="37">
        <v>13.69</v>
      </c>
      <c r="F18" s="37">
        <v>18.329999999999998</v>
      </c>
      <c r="G18" s="37">
        <v>4.28</v>
      </c>
      <c r="H18" s="37">
        <v>2.98</v>
      </c>
      <c r="J18" s="2" t="s">
        <v>650</v>
      </c>
    </row>
    <row r="19" spans="2:10" x14ac:dyDescent="0.2">
      <c r="B19" s="23">
        <f>VLOOKUP(C19,Lists!$B$21:$F$83,5,0)</f>
        <v>13</v>
      </c>
      <c r="C19" s="23" t="s">
        <v>115</v>
      </c>
      <c r="D19" s="23" t="s">
        <v>651</v>
      </c>
      <c r="E19" s="37">
        <v>42.39</v>
      </c>
      <c r="F19" s="37">
        <v>51.16</v>
      </c>
      <c r="G19" s="37">
        <v>4.28</v>
      </c>
      <c r="H19" s="37">
        <v>2.56</v>
      </c>
      <c r="J19" s="317" t="s">
        <v>652</v>
      </c>
    </row>
    <row r="20" spans="2:10" x14ac:dyDescent="0.2">
      <c r="B20" s="23">
        <f>VLOOKUP(C20,Lists!$B$21:$F$83,5,0)</f>
        <v>15</v>
      </c>
      <c r="C20" s="23" t="s">
        <v>120</v>
      </c>
      <c r="D20" s="23" t="s">
        <v>121</v>
      </c>
      <c r="E20" s="37">
        <v>11.05</v>
      </c>
      <c r="F20" s="37">
        <v>9.39</v>
      </c>
      <c r="G20" s="37">
        <v>4.28</v>
      </c>
      <c r="H20" s="37">
        <v>2.54</v>
      </c>
      <c r="J20" s="317" t="s">
        <v>653</v>
      </c>
    </row>
    <row r="21" spans="2:10" x14ac:dyDescent="0.2">
      <c r="B21" s="23">
        <f>VLOOKUP(C21,Lists!$B$21:$F$83,5,0)</f>
        <v>16</v>
      </c>
      <c r="C21" s="23" t="s">
        <v>122</v>
      </c>
      <c r="D21" s="23" t="s">
        <v>123</v>
      </c>
      <c r="E21" s="37">
        <v>15.71</v>
      </c>
      <c r="F21" s="37">
        <v>11.15</v>
      </c>
      <c r="G21" s="37">
        <v>4.28</v>
      </c>
      <c r="H21" s="37">
        <v>1.96</v>
      </c>
      <c r="J21" s="40" t="s">
        <v>654</v>
      </c>
    </row>
    <row r="22" spans="2:10" x14ac:dyDescent="0.2">
      <c r="B22" s="23">
        <f>VLOOKUP(C22,Lists!$B$21:$F$83,5,0)</f>
        <v>17</v>
      </c>
      <c r="C22" s="23" t="s">
        <v>125</v>
      </c>
      <c r="D22" s="23" t="s">
        <v>126</v>
      </c>
      <c r="E22" s="37">
        <v>14.94</v>
      </c>
      <c r="F22" s="37">
        <v>11.21</v>
      </c>
      <c r="G22" s="37">
        <v>3.9</v>
      </c>
      <c r="H22" s="37">
        <v>2.44</v>
      </c>
    </row>
    <row r="23" spans="2:10" x14ac:dyDescent="0.2">
      <c r="B23" s="23">
        <f>VLOOKUP(C23,Lists!$B$21:$F$83,5,0)</f>
        <v>14</v>
      </c>
      <c r="C23" s="23" t="s">
        <v>117</v>
      </c>
      <c r="D23" s="23" t="s">
        <v>118</v>
      </c>
      <c r="E23" s="37">
        <v>13.31</v>
      </c>
      <c r="F23" s="37">
        <v>11.34</v>
      </c>
      <c r="G23" s="37">
        <v>3.56</v>
      </c>
      <c r="H23" s="37">
        <v>1.75</v>
      </c>
      <c r="J23" s="317" t="s">
        <v>655</v>
      </c>
    </row>
    <row r="24" spans="2:10" x14ac:dyDescent="0.2">
      <c r="B24" s="23">
        <f>VLOOKUP(C24,Lists!$B$21:$F$83,5,0)</f>
        <v>18</v>
      </c>
      <c r="C24" s="23" t="s">
        <v>127</v>
      </c>
      <c r="D24" s="23" t="s">
        <v>656</v>
      </c>
      <c r="E24" s="37">
        <v>13.38</v>
      </c>
      <c r="F24" s="37">
        <v>14.02</v>
      </c>
      <c r="G24" s="37">
        <v>4.28</v>
      </c>
      <c r="H24" s="37">
        <v>1.91</v>
      </c>
      <c r="J24" s="317" t="s">
        <v>657</v>
      </c>
    </row>
    <row r="25" spans="2:10" x14ac:dyDescent="0.2">
      <c r="B25" s="23">
        <f>VLOOKUP(C25,Lists!$B$21:$F$83,5,0)</f>
        <v>19</v>
      </c>
      <c r="C25" s="23" t="s">
        <v>129</v>
      </c>
      <c r="D25" s="23" t="s">
        <v>130</v>
      </c>
      <c r="E25" s="37">
        <v>12.65</v>
      </c>
      <c r="F25" s="37">
        <v>14.93</v>
      </c>
      <c r="G25" s="37">
        <v>3.87</v>
      </c>
      <c r="H25" s="37">
        <v>2.5299999999999998</v>
      </c>
      <c r="J25" s="5" t="s">
        <v>658</v>
      </c>
    </row>
    <row r="26" spans="2:10" x14ac:dyDescent="0.2">
      <c r="B26" s="23">
        <f>VLOOKUP(C26,Lists!$B$21:$F$83,5,0)</f>
        <v>20</v>
      </c>
      <c r="C26" s="23" t="s">
        <v>131</v>
      </c>
      <c r="D26" s="23" t="s">
        <v>132</v>
      </c>
      <c r="E26" s="37">
        <v>11.55</v>
      </c>
      <c r="F26" s="37">
        <v>15.63</v>
      </c>
      <c r="G26" s="37">
        <v>4.28</v>
      </c>
      <c r="H26" s="37">
        <v>2.56</v>
      </c>
      <c r="J26" s="40" t="s">
        <v>659</v>
      </c>
    </row>
    <row r="27" spans="2:10" x14ac:dyDescent="0.2">
      <c r="B27" s="23">
        <f>VLOOKUP(C27,Lists!$B$21:$F$83,5,0)</f>
        <v>23</v>
      </c>
      <c r="C27" s="23" t="s">
        <v>137</v>
      </c>
      <c r="D27" s="23" t="s">
        <v>138</v>
      </c>
      <c r="E27" s="37">
        <v>27.42</v>
      </c>
      <c r="F27" s="37">
        <v>18.399999999999999</v>
      </c>
      <c r="G27" s="37">
        <v>4.05</v>
      </c>
      <c r="H27" s="37">
        <v>3.16</v>
      </c>
    </row>
    <row r="28" spans="2:10" x14ac:dyDescent="0.2">
      <c r="B28" s="23">
        <f>VLOOKUP(C28,Lists!$B$21:$F$83,5,0)</f>
        <v>56</v>
      </c>
      <c r="C28" s="23" t="s">
        <v>204</v>
      </c>
      <c r="D28" s="23" t="s">
        <v>205</v>
      </c>
      <c r="E28" s="37">
        <v>7.5479999999999992</v>
      </c>
      <c r="F28" s="37">
        <v>9.14</v>
      </c>
      <c r="G28" s="37">
        <v>4.16</v>
      </c>
      <c r="H28" s="37">
        <v>3.5</v>
      </c>
    </row>
    <row r="29" spans="2:10" x14ac:dyDescent="0.2">
      <c r="B29" s="23">
        <f>VLOOKUP(C29,Lists!$B$21:$F$83,5,0)</f>
        <v>22</v>
      </c>
      <c r="C29" s="23" t="s">
        <v>135</v>
      </c>
      <c r="D29" s="23" t="s">
        <v>136</v>
      </c>
      <c r="E29" s="37">
        <v>16.600000000000001</v>
      </c>
      <c r="F29" s="37">
        <v>16.71</v>
      </c>
      <c r="G29" s="37">
        <v>4.46</v>
      </c>
      <c r="H29" s="37">
        <v>3.39</v>
      </c>
      <c r="J29" t="s">
        <v>660</v>
      </c>
    </row>
    <row r="30" spans="2:10" x14ac:dyDescent="0.2">
      <c r="B30" s="23">
        <f>VLOOKUP(C30,Lists!$B$21:$F$83,5,0)</f>
        <v>21</v>
      </c>
      <c r="C30" s="23" t="s">
        <v>133</v>
      </c>
      <c r="D30" s="23" t="s">
        <v>146</v>
      </c>
      <c r="E30" s="37">
        <v>29.61</v>
      </c>
      <c r="F30" s="37">
        <v>20.66</v>
      </c>
      <c r="G30" s="37">
        <v>4.29</v>
      </c>
      <c r="H30" s="37">
        <v>3.47</v>
      </c>
      <c r="J30" s="40" t="s">
        <v>661</v>
      </c>
    </row>
    <row r="31" spans="2:10" x14ac:dyDescent="0.2">
      <c r="B31" s="23">
        <f>VLOOKUP(C31,Lists!$B$21:$F$83,5,0)</f>
        <v>24</v>
      </c>
      <c r="C31" s="23" t="s">
        <v>139</v>
      </c>
      <c r="D31" s="23" t="s">
        <v>662</v>
      </c>
      <c r="E31" s="37">
        <v>18.84</v>
      </c>
      <c r="F31" s="37">
        <v>11.06</v>
      </c>
      <c r="G31" s="37">
        <v>3.71</v>
      </c>
      <c r="H31" s="37">
        <v>2.2999999999999998</v>
      </c>
      <c r="J31" s="5" t="s">
        <v>658</v>
      </c>
    </row>
    <row r="32" spans="2:10" x14ac:dyDescent="0.2">
      <c r="B32" s="23">
        <f>VLOOKUP(C32,Lists!$B$21:$F$83,5,0)</f>
        <v>25</v>
      </c>
      <c r="C32" s="23" t="s">
        <v>141</v>
      </c>
      <c r="D32" s="23" t="s">
        <v>142</v>
      </c>
      <c r="E32" s="37">
        <v>14.73</v>
      </c>
      <c r="F32" s="37">
        <v>11.51</v>
      </c>
      <c r="G32" s="37">
        <v>4.09</v>
      </c>
      <c r="H32" s="37">
        <v>2</v>
      </c>
    </row>
    <row r="33" spans="2:10" x14ac:dyDescent="0.2">
      <c r="B33" s="23">
        <f>VLOOKUP(C33,Lists!$B$21:$F$83,5,0)</f>
        <v>27</v>
      </c>
      <c r="C33" s="23" t="s">
        <v>145</v>
      </c>
      <c r="D33" s="23" t="s">
        <v>140</v>
      </c>
      <c r="E33" s="37">
        <v>13.23</v>
      </c>
      <c r="F33" s="37">
        <v>15.07</v>
      </c>
      <c r="G33" s="37">
        <v>4.28</v>
      </c>
      <c r="H33" s="37">
        <v>2.94</v>
      </c>
      <c r="J33" t="s">
        <v>663</v>
      </c>
    </row>
    <row r="34" spans="2:10" x14ac:dyDescent="0.2">
      <c r="B34" s="23">
        <f>VLOOKUP(C34,Lists!$B$21:$F$83,5,0)</f>
        <v>26</v>
      </c>
      <c r="C34" s="23" t="s">
        <v>143</v>
      </c>
      <c r="D34" s="23" t="s">
        <v>144</v>
      </c>
      <c r="E34" s="37">
        <v>12.58</v>
      </c>
      <c r="F34" s="37">
        <v>16.54</v>
      </c>
      <c r="G34" s="37">
        <v>4.28</v>
      </c>
      <c r="H34" s="37">
        <v>2.14</v>
      </c>
      <c r="J34" s="40" t="s">
        <v>664</v>
      </c>
    </row>
    <row r="35" spans="2:10" x14ac:dyDescent="0.2">
      <c r="B35" s="23">
        <f>VLOOKUP(C35,Lists!$B$21:$F$83,5,0)</f>
        <v>28</v>
      </c>
      <c r="C35" s="23" t="s">
        <v>147</v>
      </c>
      <c r="D35" s="23" t="s">
        <v>148</v>
      </c>
      <c r="E35" s="37">
        <v>12.54</v>
      </c>
      <c r="F35" s="37">
        <v>9.8000000000000007</v>
      </c>
      <c r="G35" s="37">
        <v>4.28</v>
      </c>
      <c r="H35" s="37">
        <v>2.21</v>
      </c>
      <c r="J35" s="5" t="s">
        <v>658</v>
      </c>
    </row>
    <row r="36" spans="2:10" x14ac:dyDescent="0.2">
      <c r="B36" s="23">
        <f>VLOOKUP(C36,Lists!$B$21:$F$83,5,0)</f>
        <v>31</v>
      </c>
      <c r="C36" s="23" t="s">
        <v>153</v>
      </c>
      <c r="D36" s="23" t="s">
        <v>207</v>
      </c>
      <c r="E36" s="37">
        <v>11.2</v>
      </c>
      <c r="F36" s="37">
        <v>12.62</v>
      </c>
      <c r="G36" s="37">
        <v>3.47</v>
      </c>
      <c r="H36" s="37">
        <v>1.72</v>
      </c>
    </row>
    <row r="37" spans="2:10" x14ac:dyDescent="0.2">
      <c r="B37" s="23">
        <f>VLOOKUP(C37,Lists!$B$21:$F$83,5,0)</f>
        <v>35</v>
      </c>
      <c r="C37" s="23" t="s">
        <v>162</v>
      </c>
      <c r="D37" s="23" t="s">
        <v>163</v>
      </c>
      <c r="E37" s="37">
        <v>16.670000000000002</v>
      </c>
      <c r="F37" s="37">
        <v>16.350000000000001</v>
      </c>
      <c r="G37" s="37">
        <v>4.28</v>
      </c>
      <c r="H37" s="37">
        <v>2.56</v>
      </c>
    </row>
    <row r="38" spans="2:10" x14ac:dyDescent="0.2">
      <c r="B38" s="23">
        <f>VLOOKUP(C38,Lists!$B$21:$F$83,5,0)</f>
        <v>57</v>
      </c>
      <c r="C38" s="23" t="s">
        <v>206</v>
      </c>
      <c r="D38" s="23" t="s">
        <v>207</v>
      </c>
      <c r="E38" s="37">
        <v>10.286</v>
      </c>
      <c r="F38" s="37">
        <v>9.14</v>
      </c>
      <c r="G38" s="37">
        <v>4.16</v>
      </c>
      <c r="H38" s="37">
        <v>3.5</v>
      </c>
    </row>
    <row r="39" spans="2:10" x14ac:dyDescent="0.2">
      <c r="B39" s="23">
        <f>VLOOKUP(C39,Lists!$B$21:$F$83,5,0)</f>
        <v>32</v>
      </c>
      <c r="C39" s="23" t="s">
        <v>155</v>
      </c>
      <c r="D39" s="23" t="s">
        <v>156</v>
      </c>
      <c r="E39" s="37">
        <v>28.15</v>
      </c>
      <c r="F39" s="37">
        <v>20.25</v>
      </c>
      <c r="G39" s="37">
        <v>4.34</v>
      </c>
      <c r="H39" s="37">
        <v>3.54</v>
      </c>
    </row>
    <row r="40" spans="2:10" x14ac:dyDescent="0.2">
      <c r="B40" s="23">
        <f>VLOOKUP(C40,Lists!$B$21:$F$83,5,0)</f>
        <v>33</v>
      </c>
      <c r="C40" s="23" t="s">
        <v>157</v>
      </c>
      <c r="D40" s="23" t="s">
        <v>158</v>
      </c>
      <c r="E40" s="37">
        <v>17.7</v>
      </c>
      <c r="F40" s="37">
        <v>12.73</v>
      </c>
      <c r="G40" s="37">
        <v>4.54</v>
      </c>
      <c r="H40" s="37">
        <v>3.26</v>
      </c>
    </row>
    <row r="41" spans="2:10" x14ac:dyDescent="0.2">
      <c r="B41" s="23">
        <f>VLOOKUP(C41,Lists!$B$21:$F$83,5,0)</f>
        <v>34</v>
      </c>
      <c r="C41" s="23" t="s">
        <v>160</v>
      </c>
      <c r="D41" s="23" t="s">
        <v>161</v>
      </c>
      <c r="E41" s="37">
        <v>13.85</v>
      </c>
      <c r="F41" s="37">
        <v>11.23</v>
      </c>
      <c r="G41" s="37">
        <v>4.28</v>
      </c>
      <c r="H41" s="37">
        <v>2.56</v>
      </c>
    </row>
    <row r="42" spans="2:10" x14ac:dyDescent="0.2">
      <c r="B42" s="23">
        <f>VLOOKUP(C42,Lists!$B$21:$F$83,5,0)</f>
        <v>36</v>
      </c>
      <c r="C42" s="23" t="s">
        <v>164</v>
      </c>
      <c r="D42" s="23" t="s">
        <v>165</v>
      </c>
      <c r="E42" s="37">
        <v>22.25</v>
      </c>
      <c r="F42" s="37">
        <v>16.28</v>
      </c>
      <c r="G42" s="37">
        <v>4.53</v>
      </c>
      <c r="H42" s="37">
        <v>3.3</v>
      </c>
    </row>
    <row r="43" spans="2:10" x14ac:dyDescent="0.2">
      <c r="B43" s="23">
        <f>VLOOKUP(C43,Lists!$B$21:$F$83,5,0)</f>
        <v>58</v>
      </c>
      <c r="C43" s="23" t="s">
        <v>208</v>
      </c>
      <c r="D43" s="23" t="s">
        <v>665</v>
      </c>
      <c r="E43" s="37">
        <v>10.952</v>
      </c>
      <c r="F43" s="37">
        <v>9.14</v>
      </c>
      <c r="G43" s="37">
        <v>4.16</v>
      </c>
      <c r="H43" s="37">
        <v>3.5</v>
      </c>
    </row>
    <row r="44" spans="2:10" x14ac:dyDescent="0.2">
      <c r="B44" s="23">
        <f>VLOOKUP(C44,Lists!$B$21:$F$83,5,0)</f>
        <v>29</v>
      </c>
      <c r="C44" s="23" t="s">
        <v>149</v>
      </c>
      <c r="D44" s="23" t="s">
        <v>150</v>
      </c>
      <c r="E44" s="37">
        <v>12.93</v>
      </c>
      <c r="F44" s="37">
        <v>16.7</v>
      </c>
      <c r="G44" s="37">
        <v>4.07</v>
      </c>
      <c r="H44" s="37">
        <v>3.27</v>
      </c>
    </row>
    <row r="45" spans="2:10" x14ac:dyDescent="0.2">
      <c r="B45" s="23">
        <f>VLOOKUP(C45,Lists!$B$21:$F$83,5,0)</f>
        <v>30</v>
      </c>
      <c r="C45" s="23" t="s">
        <v>151</v>
      </c>
      <c r="D45" s="23" t="s">
        <v>152</v>
      </c>
      <c r="E45" s="37">
        <v>11.01</v>
      </c>
      <c r="F45" s="37">
        <v>9.4</v>
      </c>
      <c r="G45" s="37">
        <v>4.28</v>
      </c>
      <c r="H45" s="37">
        <v>1.77</v>
      </c>
    </row>
    <row r="46" spans="2:10" x14ac:dyDescent="0.2">
      <c r="B46" s="23">
        <f>VLOOKUP(C46,Lists!$B$21:$F$83,5,0)</f>
        <v>59</v>
      </c>
      <c r="C46" s="23" t="s">
        <v>210</v>
      </c>
      <c r="D46" s="23" t="s">
        <v>211</v>
      </c>
      <c r="E46" s="37">
        <v>13.542</v>
      </c>
      <c r="F46" s="37">
        <v>9.14</v>
      </c>
      <c r="G46" s="37">
        <v>4.16</v>
      </c>
      <c r="H46" s="37">
        <v>3.5</v>
      </c>
    </row>
    <row r="47" spans="2:10" x14ac:dyDescent="0.2">
      <c r="B47" s="23">
        <f>VLOOKUP(C47,Lists!$B$21:$F$83,5,0)</f>
        <v>37</v>
      </c>
      <c r="C47" s="23" t="s">
        <v>166</v>
      </c>
      <c r="D47" s="23" t="s">
        <v>167</v>
      </c>
      <c r="E47" s="37">
        <v>15.38</v>
      </c>
      <c r="F47" s="37">
        <v>13.17</v>
      </c>
      <c r="G47" s="37">
        <v>4.0199999999999996</v>
      </c>
      <c r="H47" s="37">
        <v>2.58</v>
      </c>
    </row>
    <row r="48" spans="2:10" x14ac:dyDescent="0.2">
      <c r="B48" s="23">
        <f>VLOOKUP(C48,Lists!$B$21:$F$83,5,0)</f>
        <v>38</v>
      </c>
      <c r="C48" s="23" t="s">
        <v>168</v>
      </c>
      <c r="D48" s="23" t="s">
        <v>169</v>
      </c>
      <c r="E48" s="37">
        <v>12.08</v>
      </c>
      <c r="F48" s="37">
        <v>14.47</v>
      </c>
      <c r="G48" s="37">
        <v>4.28</v>
      </c>
      <c r="H48" s="37">
        <v>2.38</v>
      </c>
    </row>
    <row r="49" spans="2:8" x14ac:dyDescent="0.2">
      <c r="B49" s="23">
        <f>VLOOKUP(C49,Lists!$B$21:$F$83,5,0)</f>
        <v>60</v>
      </c>
      <c r="C49" s="23" t="s">
        <v>212</v>
      </c>
      <c r="D49" s="23" t="s">
        <v>213</v>
      </c>
      <c r="E49" s="37">
        <v>10.433999999999999</v>
      </c>
      <c r="F49" s="37">
        <v>9.14</v>
      </c>
      <c r="G49" s="37">
        <v>4.16</v>
      </c>
      <c r="H49" s="37">
        <v>3.5</v>
      </c>
    </row>
    <row r="50" spans="2:8" x14ac:dyDescent="0.2">
      <c r="B50" s="23">
        <f>VLOOKUP(C50,Lists!$B$21:$F$83,5,0)</f>
        <v>39</v>
      </c>
      <c r="C50" s="23" t="s">
        <v>170</v>
      </c>
      <c r="D50" s="23" t="s">
        <v>171</v>
      </c>
      <c r="E50" s="37">
        <v>12.73</v>
      </c>
      <c r="F50" s="37">
        <v>15.19</v>
      </c>
      <c r="G50" s="37">
        <v>4.28</v>
      </c>
      <c r="H50" s="37">
        <v>2.56</v>
      </c>
    </row>
    <row r="51" spans="2:8" x14ac:dyDescent="0.2">
      <c r="B51" s="23">
        <f>VLOOKUP(C51,Lists!$B$21:$F$83,5,0)</f>
        <v>40</v>
      </c>
      <c r="C51" s="23" t="s">
        <v>172</v>
      </c>
      <c r="D51" s="23" t="s">
        <v>173</v>
      </c>
      <c r="E51" s="37">
        <v>18.100000000000001</v>
      </c>
      <c r="F51" s="37">
        <v>14.87</v>
      </c>
      <c r="G51" s="37">
        <v>4.07</v>
      </c>
      <c r="H51" s="37">
        <v>2.85</v>
      </c>
    </row>
    <row r="52" spans="2:8" x14ac:dyDescent="0.2">
      <c r="B52" s="23">
        <f>VLOOKUP(C52,Lists!$B$21:$F$83,5,0)</f>
        <v>61</v>
      </c>
      <c r="C52" s="23" t="s">
        <v>214</v>
      </c>
      <c r="D52" s="23" t="s">
        <v>666</v>
      </c>
      <c r="E52" s="37">
        <v>13.616</v>
      </c>
      <c r="F52" s="37">
        <v>9.14</v>
      </c>
      <c r="G52" s="37">
        <v>4.16</v>
      </c>
      <c r="H52" s="37">
        <v>3.5</v>
      </c>
    </row>
    <row r="53" spans="2:8" x14ac:dyDescent="0.2">
      <c r="B53" s="23">
        <f>VLOOKUP(C53,Lists!$B$21:$F$83,5,0)</f>
        <v>62</v>
      </c>
      <c r="C53" s="23" t="s">
        <v>216</v>
      </c>
      <c r="D53" s="23" t="s">
        <v>667</v>
      </c>
      <c r="E53" s="37">
        <v>5.7720000000000002</v>
      </c>
      <c r="F53" s="37">
        <v>9.14</v>
      </c>
      <c r="G53" s="37">
        <v>4.16</v>
      </c>
      <c r="H53" s="37">
        <v>3.5</v>
      </c>
    </row>
    <row r="54" spans="2:8" x14ac:dyDescent="0.2">
      <c r="B54" s="23">
        <f>VLOOKUP(C54,Lists!$B$21:$F$83,5,0)</f>
        <v>41</v>
      </c>
      <c r="C54" s="23" t="s">
        <v>174</v>
      </c>
      <c r="D54" s="23" t="s">
        <v>175</v>
      </c>
      <c r="E54" s="37">
        <v>27.02</v>
      </c>
      <c r="F54" s="37">
        <v>19.77</v>
      </c>
      <c r="G54" s="37">
        <v>4.2699999999999996</v>
      </c>
      <c r="H54" s="37">
        <v>3.53</v>
      </c>
    </row>
    <row r="55" spans="2:8" x14ac:dyDescent="0.2">
      <c r="B55" s="23">
        <f>VLOOKUP(C55,Lists!$B$21:$F$83,5,0)</f>
        <v>63</v>
      </c>
      <c r="C55" s="23" t="s">
        <v>218</v>
      </c>
      <c r="D55" s="23" t="s">
        <v>219</v>
      </c>
      <c r="E55" s="37">
        <v>14.725999999999999</v>
      </c>
      <c r="F55" s="37">
        <v>9.14</v>
      </c>
      <c r="G55" s="37">
        <v>4.16</v>
      </c>
      <c r="H55" s="37">
        <v>3.5</v>
      </c>
    </row>
    <row r="56" spans="2:8" x14ac:dyDescent="0.2">
      <c r="B56" s="23">
        <f>VLOOKUP(C56,Lists!$B$21:$F$83,5,0)</f>
        <v>42</v>
      </c>
      <c r="C56" s="23" t="s">
        <v>176</v>
      </c>
      <c r="D56" s="23" t="s">
        <v>177</v>
      </c>
      <c r="E56" s="37">
        <v>13.68</v>
      </c>
      <c r="F56" s="37">
        <v>16.82</v>
      </c>
      <c r="G56" s="37">
        <v>4.28</v>
      </c>
      <c r="H56" s="37">
        <v>2.56</v>
      </c>
    </row>
    <row r="57" spans="2:8" x14ac:dyDescent="0.2">
      <c r="B57" s="23">
        <f>VLOOKUP(C57,Lists!$B$21:$F$83,5,0)</f>
        <v>43</v>
      </c>
      <c r="C57" s="23" t="s">
        <v>178</v>
      </c>
      <c r="D57" s="23" t="s">
        <v>179</v>
      </c>
      <c r="E57" s="37">
        <v>12.32</v>
      </c>
      <c r="F57" s="37">
        <v>10.029999999999999</v>
      </c>
      <c r="G57" s="37">
        <v>4.28</v>
      </c>
      <c r="H57" s="37">
        <v>1.92</v>
      </c>
    </row>
    <row r="58" spans="2:8" x14ac:dyDescent="0.2">
      <c r="B58" s="23">
        <f>VLOOKUP(C58,Lists!$B$21:$F$83,5,0)</f>
        <v>44</v>
      </c>
      <c r="C58" s="23" t="s">
        <v>180</v>
      </c>
      <c r="D58" s="23" t="s">
        <v>181</v>
      </c>
      <c r="E58" s="37">
        <v>12.19</v>
      </c>
      <c r="F58" s="37">
        <v>11.25</v>
      </c>
      <c r="G58" s="37">
        <v>4.28</v>
      </c>
      <c r="H58" s="37">
        <v>3.16</v>
      </c>
    </row>
    <row r="59" spans="2:8" x14ac:dyDescent="0.2">
      <c r="B59" s="23">
        <f>VLOOKUP(C59,Lists!$B$21:$F$83,5,0)</f>
        <v>45</v>
      </c>
      <c r="C59" s="23" t="s">
        <v>182</v>
      </c>
      <c r="D59" s="23" t="s">
        <v>183</v>
      </c>
      <c r="E59" s="37">
        <v>14.46</v>
      </c>
      <c r="F59" s="37">
        <v>16.72</v>
      </c>
      <c r="G59" s="37">
        <v>4.28</v>
      </c>
      <c r="H59" s="37">
        <v>2.88</v>
      </c>
    </row>
    <row r="60" spans="2:8" x14ac:dyDescent="0.2">
      <c r="B60" s="23">
        <f>Lists!A21</f>
        <v>1</v>
      </c>
      <c r="C60" s="23" t="s">
        <v>668</v>
      </c>
      <c r="D60" s="23" t="s">
        <v>86</v>
      </c>
      <c r="E60" s="37">
        <v>16</v>
      </c>
      <c r="F60" s="37">
        <v>14.83</v>
      </c>
      <c r="G60" s="37">
        <v>4.28</v>
      </c>
      <c r="H60" s="37">
        <v>2.56</v>
      </c>
    </row>
    <row r="61" spans="2:8" x14ac:dyDescent="0.2">
      <c r="B61" s="23">
        <f>VLOOKUP(C61,Lists!$B$21:$F$83,5,0)</f>
        <v>46</v>
      </c>
      <c r="C61" s="23" t="s">
        <v>184</v>
      </c>
      <c r="D61" s="23" t="s">
        <v>185</v>
      </c>
      <c r="E61" s="37">
        <v>11.2</v>
      </c>
      <c r="F61" s="37">
        <v>12.96</v>
      </c>
      <c r="G61" s="37">
        <v>4.28</v>
      </c>
      <c r="H61" s="37">
        <v>2.4300000000000002</v>
      </c>
    </row>
    <row r="62" spans="2:8" x14ac:dyDescent="0.2">
      <c r="B62" s="23">
        <f>VLOOKUP(C62,Lists!$B$21:$F$83,5,0)</f>
        <v>48</v>
      </c>
      <c r="C62" s="23" t="s">
        <v>188</v>
      </c>
      <c r="D62" s="23" t="s">
        <v>189</v>
      </c>
      <c r="E62" s="37">
        <v>20.82</v>
      </c>
      <c r="F62" s="37">
        <v>16.510000000000002</v>
      </c>
      <c r="G62" s="37">
        <v>4.25</v>
      </c>
      <c r="H62" s="37">
        <v>3.4</v>
      </c>
    </row>
    <row r="63" spans="2:8" x14ac:dyDescent="0.2">
      <c r="B63" s="23">
        <f>VLOOKUP(C63,Lists!$B$21:$F$83,5,0)</f>
        <v>47</v>
      </c>
      <c r="C63" s="23" t="s">
        <v>186</v>
      </c>
      <c r="D63" s="23" t="s">
        <v>187</v>
      </c>
      <c r="E63" s="37">
        <v>14.26</v>
      </c>
      <c r="F63" s="37">
        <v>16.579999999999998</v>
      </c>
      <c r="G63" s="37">
        <v>4.2699999999999996</v>
      </c>
      <c r="H63" s="37">
        <v>3.32</v>
      </c>
    </row>
    <row r="64" spans="2:8" x14ac:dyDescent="0.2">
      <c r="B64" s="23">
        <f>VLOOKUP(C64,Lists!$B$21:$F$83,5,0)</f>
        <v>49</v>
      </c>
      <c r="C64" s="23" t="s">
        <v>190</v>
      </c>
      <c r="D64" s="23" t="s">
        <v>669</v>
      </c>
      <c r="E64" s="37">
        <v>10.98</v>
      </c>
      <c r="F64" s="37">
        <v>14.98</v>
      </c>
      <c r="G64" s="37">
        <v>4.28</v>
      </c>
      <c r="H64" s="37">
        <v>2.56</v>
      </c>
    </row>
    <row r="65" spans="2:8" x14ac:dyDescent="0.2">
      <c r="B65" s="23">
        <f>VLOOKUP(C65,Lists!$B$21:$F$83,5,0)</f>
        <v>51</v>
      </c>
      <c r="C65" s="23" t="s">
        <v>194</v>
      </c>
      <c r="D65" s="23" t="s">
        <v>195</v>
      </c>
      <c r="E65" s="37">
        <v>14.05</v>
      </c>
      <c r="F65" s="37">
        <v>15.05</v>
      </c>
      <c r="G65" s="37">
        <v>4.28</v>
      </c>
      <c r="H65" s="37">
        <v>2.56</v>
      </c>
    </row>
    <row r="66" spans="2:8" x14ac:dyDescent="0.2">
      <c r="B66" s="23">
        <f>VLOOKUP(C66,Lists!$B$21:$F$83,5,0)</f>
        <v>50</v>
      </c>
      <c r="C66" s="23" t="s">
        <v>192</v>
      </c>
      <c r="D66" s="23" t="s">
        <v>670</v>
      </c>
      <c r="E66" s="37">
        <v>16.88</v>
      </c>
      <c r="F66" s="37">
        <v>10.5</v>
      </c>
      <c r="G66" s="37">
        <v>3.6</v>
      </c>
      <c r="H66" s="37">
        <v>1.97</v>
      </c>
    </row>
    <row r="67" spans="2:8" x14ac:dyDescent="0.2">
      <c r="B67" s="23">
        <f>VLOOKUP(C67,Lists!$B$21:$F$83,5,0)</f>
        <v>52</v>
      </c>
      <c r="C67" s="23" t="s">
        <v>196</v>
      </c>
      <c r="D67" s="23" t="s">
        <v>197</v>
      </c>
      <c r="E67" s="37">
        <v>11.46</v>
      </c>
      <c r="F67" s="37">
        <v>13.22</v>
      </c>
      <c r="G67" s="37">
        <v>4.28</v>
      </c>
      <c r="H67" s="37">
        <v>2.56</v>
      </c>
    </row>
  </sheetData>
  <hyperlinks>
    <hyperlink ref="J10" r:id="rId1" xr:uid="{19F24D03-277C-4EF8-ADCD-E2A525574A2F}"/>
    <hyperlink ref="J21" r:id="rId2" xr:uid="{72A2FB61-2A0E-469C-BAA9-0F443848A996}"/>
    <hyperlink ref="J7" r:id="rId3" xr:uid="{008F2A00-0EF6-4342-A678-04465E2F910C}"/>
    <hyperlink ref="J13" r:id="rId4" xr:uid="{D3FB05E5-EE18-487D-987C-314E16A32310}"/>
    <hyperlink ref="J16" r:id="rId5" xr:uid="{693D9A96-0B5B-40CA-BAFF-39D5D4B36DBF}"/>
    <hyperlink ref="J30" r:id="rId6" xr:uid="{6A66126E-81E9-4072-877F-319523D5B607}"/>
    <hyperlink ref="J34" r:id="rId7" xr:uid="{DED06854-2511-4222-9A6C-23BAC21B2178}"/>
    <hyperlink ref="J26" r:id="rId8" location="sources" xr:uid="{9B271293-3C9D-494E-A03E-DDF97906BC5C}"/>
  </hyperlinks>
  <pageMargins left="0.7" right="0.7" top="0.75" bottom="0.75" header="0.3" footer="0.3"/>
  <pageSetup orientation="portrait" r:id="rId9"/>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CEB1DF-7DAB-4894-B260-54FFECA42A17}">
  <sheetPr codeName="Sheet10"/>
  <dimension ref="B1:DC328"/>
  <sheetViews>
    <sheetView topLeftCell="CG1" workbookViewId="0">
      <selection activeCell="F52" sqref="F52"/>
    </sheetView>
  </sheetViews>
  <sheetFormatPr defaultRowHeight="15" x14ac:dyDescent="0.25"/>
  <cols>
    <col min="1" max="1" width="2.85546875" customWidth="1"/>
    <col min="2" max="2" width="2.7109375" customWidth="1"/>
    <col min="3" max="3" width="19.28515625" customWidth="1"/>
    <col min="4" max="4" width="18.7109375" customWidth="1"/>
    <col min="5" max="5" width="25.140625" style="23" customWidth="1"/>
    <col min="6" max="6" width="7.140625" customWidth="1"/>
    <col min="7" max="7" width="11.140625" customWidth="1"/>
    <col min="8" max="8" width="13.5703125" customWidth="1"/>
    <col min="9" max="9" width="11.7109375" customWidth="1"/>
    <col min="10" max="10" width="2.7109375" customWidth="1"/>
    <col min="11" max="11" width="11.7109375" customWidth="1"/>
    <col min="12" max="12" width="2.7109375" customWidth="1"/>
    <col min="13" max="13" width="11.7109375" customWidth="1"/>
    <col min="14" max="14" width="2.7109375" customWidth="1"/>
    <col min="15" max="15" width="11.7109375" customWidth="1"/>
    <col min="16" max="16" width="2.7109375" customWidth="1"/>
    <col min="17" max="17" width="11.7109375" customWidth="1"/>
    <col min="18" max="18" width="2.7109375" customWidth="1"/>
    <col min="19" max="19" width="11.7109375" customWidth="1"/>
    <col min="20" max="20" width="2.7109375" customWidth="1"/>
    <col min="22" max="23" width="20.7109375" customWidth="1"/>
    <col min="24" max="29" width="15.7109375" customWidth="1"/>
    <col min="30" max="30" width="47.85546875" bestFit="1" customWidth="1"/>
    <col min="31" max="31" width="47.42578125" bestFit="1" customWidth="1"/>
    <col min="32" max="32" width="47.5703125" bestFit="1" customWidth="1"/>
    <col min="33" max="51" width="15.7109375" customWidth="1"/>
    <col min="52" max="52" width="30.140625" bestFit="1" customWidth="1"/>
    <col min="53" max="53" width="15.7109375" customWidth="1"/>
    <col min="55" max="55" width="21.28515625" customWidth="1"/>
    <col min="56" max="59" width="23.140625" customWidth="1"/>
    <col min="60" max="60" width="10.7109375" customWidth="1"/>
    <col min="62" max="62" width="22.7109375" customWidth="1"/>
    <col min="63" max="64" width="12.28515625" customWidth="1"/>
    <col min="65" max="65" width="13.42578125" customWidth="1"/>
    <col min="66" max="66" width="13.7109375" customWidth="1"/>
    <col min="67" max="67" width="18.85546875" customWidth="1"/>
    <col min="68" max="68" width="34.5703125" customWidth="1"/>
    <col min="69" max="69" width="35" customWidth="1"/>
    <col min="71" max="71" width="22.85546875" customWidth="1"/>
    <col min="72" max="72" width="32.28515625" customWidth="1"/>
    <col min="73" max="73" width="32.7109375" customWidth="1"/>
    <col min="74" max="74" width="33.28515625" customWidth="1"/>
    <col min="75" max="75" width="39.7109375" customWidth="1"/>
    <col min="76" max="76" width="14.140625" customWidth="1"/>
    <col min="77" max="77" width="20.7109375" style="46" customWidth="1"/>
    <col min="78" max="79" width="27.7109375" style="46" customWidth="1"/>
    <col min="80" max="80" width="28" style="46" customWidth="1"/>
    <col min="81" max="81" width="27.7109375" style="46" customWidth="1"/>
    <col min="82" max="82" width="12.5703125" customWidth="1"/>
    <col min="84" max="84" width="36.42578125" customWidth="1"/>
    <col min="85" max="85" width="9.85546875" customWidth="1"/>
    <col min="86" max="86" width="26.5703125" customWidth="1"/>
    <col min="87" max="87" width="19" customWidth="1"/>
    <col min="91" max="91" width="19.85546875" customWidth="1"/>
    <col min="94" max="94" width="13.42578125" customWidth="1"/>
    <col min="95" max="95" width="4.7109375" customWidth="1"/>
    <col min="96" max="97" width="37.7109375" customWidth="1"/>
    <col min="98" max="98" width="4.7109375" customWidth="1"/>
    <col min="99" max="99" width="40.7109375" customWidth="1"/>
    <col min="101" max="107" width="30.7109375" customWidth="1"/>
  </cols>
  <sheetData>
    <row r="1" spans="2:107" ht="15" customHeight="1" thickBot="1" x14ac:dyDescent="0.3"/>
    <row r="2" spans="2:107" s="51" customFormat="1" ht="30" customHeight="1" x14ac:dyDescent="0.2">
      <c r="B2" s="47"/>
      <c r="C2" s="48" t="s">
        <v>786</v>
      </c>
      <c r="D2" s="48"/>
      <c r="E2" s="49"/>
      <c r="F2" s="49"/>
      <c r="G2" s="49"/>
      <c r="H2" s="49"/>
      <c r="I2" s="49"/>
      <c r="J2" s="49"/>
      <c r="K2" s="49"/>
      <c r="L2" s="49"/>
      <c r="M2" s="49"/>
      <c r="N2" s="49"/>
      <c r="O2" s="49"/>
      <c r="P2" s="49"/>
      <c r="Q2" s="49"/>
      <c r="R2" s="49"/>
      <c r="S2" s="49"/>
      <c r="T2" s="50"/>
      <c r="V2" s="51" t="s">
        <v>787</v>
      </c>
      <c r="BY2" s="52"/>
      <c r="BZ2" s="52"/>
      <c r="CA2" s="52"/>
      <c r="CB2" s="52"/>
      <c r="CC2" s="52"/>
    </row>
    <row r="3" spans="2:107" ht="30" customHeight="1" x14ac:dyDescent="0.25">
      <c r="B3" s="53"/>
      <c r="C3" s="54"/>
      <c r="D3" s="54"/>
      <c r="E3" s="54"/>
      <c r="F3" s="54"/>
      <c r="G3" s="54"/>
      <c r="H3" s="54"/>
      <c r="I3" s="54"/>
      <c r="J3" s="54"/>
      <c r="K3" s="55"/>
      <c r="L3" s="55" t="s">
        <v>788</v>
      </c>
      <c r="M3" s="54"/>
      <c r="N3" s="54"/>
      <c r="O3" s="54"/>
      <c r="P3" s="54"/>
      <c r="Q3" s="54"/>
      <c r="R3" s="54"/>
      <c r="S3" s="54"/>
      <c r="T3" s="56"/>
      <c r="CW3" s="57"/>
    </row>
    <row r="4" spans="2:107" ht="15" customHeight="1" x14ac:dyDescent="0.25">
      <c r="B4" s="53"/>
      <c r="C4" s="54"/>
      <c r="D4" s="54"/>
      <c r="E4" s="54"/>
      <c r="F4" s="54"/>
      <c r="G4" s="54"/>
      <c r="H4" s="54"/>
      <c r="I4" s="54"/>
      <c r="J4" s="54"/>
      <c r="K4" s="55"/>
      <c r="L4" s="55"/>
      <c r="M4" s="55"/>
      <c r="N4" s="54"/>
      <c r="O4" s="54"/>
      <c r="P4" s="54"/>
      <c r="Q4" s="54"/>
      <c r="R4" s="54"/>
      <c r="S4" s="54"/>
      <c r="T4" s="56"/>
      <c r="V4" s="58" t="s">
        <v>789</v>
      </c>
      <c r="BC4" s="58" t="s">
        <v>790</v>
      </c>
      <c r="BY4" s="59" t="s">
        <v>791</v>
      </c>
      <c r="CA4" s="437" t="s">
        <v>792</v>
      </c>
      <c r="CF4" s="58" t="s">
        <v>793</v>
      </c>
      <c r="CP4" s="58" t="s">
        <v>794</v>
      </c>
      <c r="CQ4" s="58"/>
    </row>
    <row r="5" spans="2:107" ht="15" customHeight="1" x14ac:dyDescent="0.25">
      <c r="B5" s="53"/>
      <c r="C5" s="54"/>
      <c r="D5" s="54"/>
      <c r="E5" s="54"/>
      <c r="F5" s="54"/>
      <c r="G5" s="54"/>
      <c r="H5" s="54"/>
      <c r="I5" s="54"/>
      <c r="J5" s="54"/>
      <c r="K5" s="54"/>
      <c r="L5" s="54"/>
      <c r="M5" s="54"/>
      <c r="N5" s="54"/>
      <c r="O5" s="54"/>
      <c r="P5" s="54"/>
      <c r="Q5" s="54"/>
      <c r="R5" s="54"/>
      <c r="S5" s="54"/>
      <c r="T5" s="56"/>
      <c r="CA5" s="437" t="s">
        <v>795</v>
      </c>
    </row>
    <row r="6" spans="2:107" ht="15" customHeight="1" x14ac:dyDescent="0.35">
      <c r="B6" s="53"/>
      <c r="C6" s="54"/>
      <c r="D6" s="54"/>
      <c r="E6" s="54"/>
      <c r="F6" s="54"/>
      <c r="G6" s="54"/>
      <c r="H6" s="54"/>
      <c r="I6" s="54"/>
      <c r="J6" s="54"/>
      <c r="K6" s="54"/>
      <c r="L6" s="54"/>
      <c r="M6" s="54"/>
      <c r="N6" s="54"/>
      <c r="O6" s="54"/>
      <c r="P6" s="54"/>
      <c r="Q6" s="54"/>
      <c r="R6" s="54"/>
      <c r="S6" s="54"/>
      <c r="T6" s="56"/>
      <c r="V6" s="5"/>
      <c r="AZ6" s="60"/>
      <c r="BA6" s="60"/>
      <c r="BC6" t="s">
        <v>796</v>
      </c>
      <c r="BJ6" t="s">
        <v>797</v>
      </c>
      <c r="BS6" t="s">
        <v>798</v>
      </c>
      <c r="BY6" s="46" t="s">
        <v>799</v>
      </c>
      <c r="CF6" t="s">
        <v>800</v>
      </c>
      <c r="CL6" t="s">
        <v>801</v>
      </c>
      <c r="CP6" t="s">
        <v>802</v>
      </c>
      <c r="CR6" t="s">
        <v>803</v>
      </c>
      <c r="CU6" t="s">
        <v>804</v>
      </c>
    </row>
    <row r="7" spans="2:107" ht="15" customHeight="1" x14ac:dyDescent="0.25">
      <c r="B7" s="53"/>
      <c r="C7" s="54"/>
      <c r="D7" s="54"/>
      <c r="E7" s="54"/>
      <c r="F7" s="54"/>
      <c r="G7" s="54"/>
      <c r="H7" s="54"/>
      <c r="I7" s="54"/>
      <c r="J7" s="54"/>
      <c r="K7" s="54"/>
      <c r="L7" s="54"/>
      <c r="M7" s="54"/>
      <c r="N7" s="54"/>
      <c r="O7" s="54"/>
      <c r="P7" s="54"/>
      <c r="Q7" s="54"/>
      <c r="R7" s="54"/>
      <c r="S7" s="54"/>
      <c r="T7" s="56"/>
      <c r="V7" s="5" t="s">
        <v>805</v>
      </c>
      <c r="AZ7" s="61"/>
      <c r="BS7" s="5" t="s">
        <v>805</v>
      </c>
    </row>
    <row r="8" spans="2:107" ht="15" customHeight="1" x14ac:dyDescent="0.35">
      <c r="B8" s="53"/>
      <c r="C8" s="54"/>
      <c r="D8" s="54"/>
      <c r="E8" s="54"/>
      <c r="F8" s="54"/>
      <c r="G8" s="54"/>
      <c r="H8" s="54"/>
      <c r="I8" s="54"/>
      <c r="J8" s="54"/>
      <c r="K8" s="54"/>
      <c r="L8" s="54"/>
      <c r="M8" s="54"/>
      <c r="N8" s="54"/>
      <c r="O8" s="54"/>
      <c r="P8" s="54"/>
      <c r="Q8" s="54"/>
      <c r="R8" s="54"/>
      <c r="S8" s="54"/>
      <c r="T8" s="56"/>
      <c r="V8" s="509" t="s">
        <v>806</v>
      </c>
      <c r="W8" s="510" t="s">
        <v>807</v>
      </c>
      <c r="X8" s="511" t="s">
        <v>808</v>
      </c>
      <c r="Y8" s="511" t="s">
        <v>809</v>
      </c>
      <c r="Z8" s="511" t="s">
        <v>810</v>
      </c>
      <c r="AA8" s="455" t="s">
        <v>811</v>
      </c>
      <c r="AB8" s="455" t="s">
        <v>812</v>
      </c>
      <c r="AC8" s="511" t="s">
        <v>813</v>
      </c>
      <c r="AD8" s="454" t="s">
        <v>814</v>
      </c>
      <c r="AE8" s="454" t="s">
        <v>815</v>
      </c>
      <c r="AF8" s="455" t="s">
        <v>816</v>
      </c>
      <c r="AG8" s="454" t="s">
        <v>817</v>
      </c>
      <c r="AH8" s="454" t="s">
        <v>818</v>
      </c>
      <c r="AI8" s="454" t="s">
        <v>819</v>
      </c>
      <c r="AJ8" s="455" t="s">
        <v>820</v>
      </c>
      <c r="AK8" s="454" t="s">
        <v>821</v>
      </c>
      <c r="AL8" s="454" t="s">
        <v>822</v>
      </c>
      <c r="AM8" s="455" t="s">
        <v>823</v>
      </c>
      <c r="AN8" s="454" t="s">
        <v>824</v>
      </c>
      <c r="AO8" s="454" t="s">
        <v>825</v>
      </c>
      <c r="AP8" s="455" t="s">
        <v>826</v>
      </c>
      <c r="AQ8" s="511" t="s">
        <v>827</v>
      </c>
      <c r="AR8" s="511" t="s">
        <v>828</v>
      </c>
      <c r="AS8" s="511" t="s">
        <v>829</v>
      </c>
      <c r="AT8" s="511" t="s">
        <v>830</v>
      </c>
      <c r="AU8" s="512" t="s">
        <v>831</v>
      </c>
      <c r="AV8" s="512" t="s">
        <v>832</v>
      </c>
      <c r="AW8" s="512" t="s">
        <v>833</v>
      </c>
      <c r="AX8" s="512" t="s">
        <v>834</v>
      </c>
      <c r="AY8" s="512" t="s">
        <v>835</v>
      </c>
      <c r="AZ8" s="456" t="s">
        <v>836</v>
      </c>
      <c r="BA8" s="513" t="s">
        <v>837</v>
      </c>
      <c r="BC8" s="62"/>
      <c r="BD8" s="63" t="s">
        <v>838</v>
      </c>
      <c r="BE8" s="64"/>
      <c r="BF8" s="65" t="s">
        <v>839</v>
      </c>
      <c r="BG8" s="65"/>
      <c r="BH8" s="66"/>
      <c r="BJ8" s="67"/>
      <c r="BK8" s="68" t="s">
        <v>840</v>
      </c>
      <c r="BL8" s="68" t="s">
        <v>841</v>
      </c>
      <c r="BM8" s="69" t="s">
        <v>842</v>
      </c>
      <c r="BN8" s="70" t="s">
        <v>843</v>
      </c>
      <c r="BO8" s="71" t="s">
        <v>844</v>
      </c>
      <c r="BP8" s="69" t="s">
        <v>845</v>
      </c>
      <c r="BQ8" s="70" t="s">
        <v>846</v>
      </c>
      <c r="BS8" s="458" t="s">
        <v>847</v>
      </c>
      <c r="BT8" s="522" t="s">
        <v>848</v>
      </c>
      <c r="BU8" s="523" t="s">
        <v>849</v>
      </c>
      <c r="BV8" s="524" t="s">
        <v>850</v>
      </c>
      <c r="BW8" s="525" t="s">
        <v>851</v>
      </c>
      <c r="BX8" s="76"/>
      <c r="BY8" s="77" t="s">
        <v>82</v>
      </c>
      <c r="BZ8" s="78" t="s">
        <v>852</v>
      </c>
      <c r="CA8" s="78" t="s">
        <v>853</v>
      </c>
      <c r="CB8" s="78" t="s">
        <v>854</v>
      </c>
      <c r="CC8" s="79" t="s">
        <v>855</v>
      </c>
      <c r="CD8" s="23"/>
      <c r="CF8" s="72" t="s">
        <v>856</v>
      </c>
      <c r="CG8" s="73" t="s">
        <v>857</v>
      </c>
      <c r="CH8" s="75" t="s">
        <v>858</v>
      </c>
      <c r="CI8" s="74" t="s">
        <v>859</v>
      </c>
      <c r="CL8" s="80" t="s">
        <v>860</v>
      </c>
      <c r="CM8" s="67" t="s">
        <v>861</v>
      </c>
      <c r="CP8" s="66" t="s">
        <v>862</v>
      </c>
      <c r="CR8" s="62" t="s">
        <v>85</v>
      </c>
      <c r="CS8" s="66" t="str">
        <f>CR8</f>
        <v>US Average</v>
      </c>
      <c r="CT8">
        <v>1</v>
      </c>
      <c r="CU8" s="66" t="s">
        <v>863</v>
      </c>
      <c r="CW8" s="67" t="s">
        <v>864</v>
      </c>
      <c r="CX8" s="67" t="s">
        <v>865</v>
      </c>
      <c r="CY8" s="67" t="s">
        <v>866</v>
      </c>
      <c r="CZ8" s="67" t="s">
        <v>867</v>
      </c>
      <c r="DA8" s="67" t="s">
        <v>868</v>
      </c>
      <c r="DB8" s="67" t="s">
        <v>869</v>
      </c>
      <c r="DC8" s="67" t="s">
        <v>870</v>
      </c>
    </row>
    <row r="9" spans="2:107" ht="15" customHeight="1" x14ac:dyDescent="0.3">
      <c r="B9" s="53"/>
      <c r="C9" s="81" t="s">
        <v>871</v>
      </c>
      <c r="D9" s="81"/>
      <c r="E9" s="82"/>
      <c r="F9" s="54"/>
      <c r="G9" s="54"/>
      <c r="H9" s="54"/>
      <c r="I9" s="54"/>
      <c r="J9" s="54"/>
      <c r="K9" s="54"/>
      <c r="L9" s="54"/>
      <c r="M9" s="54"/>
      <c r="N9" s="54"/>
      <c r="O9" s="54"/>
      <c r="P9" s="54"/>
      <c r="Q9" s="54"/>
      <c r="R9" s="54"/>
      <c r="S9" s="54"/>
      <c r="T9" s="56"/>
      <c r="V9" s="514" t="s">
        <v>872</v>
      </c>
      <c r="W9" s="515" t="s">
        <v>85</v>
      </c>
      <c r="X9" s="516">
        <v>1303568.8</v>
      </c>
      <c r="Y9" s="516">
        <v>21889487792.688</v>
      </c>
      <c r="Z9" s="516">
        <v>4190970937.3569999</v>
      </c>
      <c r="AA9" s="516">
        <v>947487.39800000004</v>
      </c>
      <c r="AB9" s="516">
        <v>752518.80500000005</v>
      </c>
      <c r="AC9" s="516">
        <v>1607676335.9419999</v>
      </c>
      <c r="AD9" s="516">
        <v>0.45200000000000001</v>
      </c>
      <c r="AE9" s="516">
        <v>0.35899999999999999</v>
      </c>
      <c r="AF9" s="516">
        <v>767.20899999999995</v>
      </c>
      <c r="AG9" s="516">
        <v>8.6999999999999994E-2</v>
      </c>
      <c r="AH9" s="516">
        <v>8.2000000000000003E-2</v>
      </c>
      <c r="AI9" s="516">
        <v>6.9000000000000006E-2</v>
      </c>
      <c r="AJ9" s="516">
        <v>146.88999999999999</v>
      </c>
      <c r="AK9" s="516">
        <v>0.71</v>
      </c>
      <c r="AL9" s="516">
        <v>0.56699999999999995</v>
      </c>
      <c r="AM9" s="516">
        <v>1270.259</v>
      </c>
      <c r="AN9" s="516">
        <v>8.4000000000000005E-2</v>
      </c>
      <c r="AO9" s="516">
        <v>6.7000000000000004E-2</v>
      </c>
      <c r="AP9" s="516">
        <v>149.90600000000001</v>
      </c>
      <c r="AQ9" s="516">
        <v>674702091.56400001</v>
      </c>
      <c r="AR9" s="516">
        <v>23005568.559999999</v>
      </c>
      <c r="AS9" s="516">
        <v>1809177398.984</v>
      </c>
      <c r="AT9" s="516">
        <v>19169271.316</v>
      </c>
      <c r="AU9" s="516">
        <v>0.161</v>
      </c>
      <c r="AV9" s="516">
        <v>5.0000000000000001E-3</v>
      </c>
      <c r="AW9" s="516">
        <v>0.432</v>
      </c>
      <c r="AX9" s="516">
        <v>5.0000000000000001E-3</v>
      </c>
      <c r="AY9" s="516">
        <v>0.61399999999999999</v>
      </c>
      <c r="AZ9" s="517">
        <f>Y9/Z9*1000</f>
        <v>5223.0111160094129</v>
      </c>
      <c r="BA9" s="518">
        <f>Y9/(SUM(AQ9:AT9))*1000</f>
        <v>8665.4857455159454</v>
      </c>
      <c r="BC9" s="85"/>
      <c r="BD9" s="86" t="s">
        <v>873</v>
      </c>
      <c r="BE9" s="87" t="s">
        <v>874</v>
      </c>
      <c r="BF9" s="88" t="s">
        <v>873</v>
      </c>
      <c r="BG9" s="88" t="s">
        <v>874</v>
      </c>
      <c r="BH9" s="89" t="s">
        <v>875</v>
      </c>
      <c r="BJ9" s="90" t="s">
        <v>876</v>
      </c>
      <c r="BK9" s="91">
        <v>294098.96720494935</v>
      </c>
      <c r="BL9" s="91">
        <v>184706.73658799267</v>
      </c>
      <c r="BM9" s="92">
        <v>648376465.07937539</v>
      </c>
      <c r="BN9" s="93">
        <v>407208165.6166203</v>
      </c>
      <c r="BO9" s="91">
        <v>568000</v>
      </c>
      <c r="BP9" s="94">
        <f t="shared" ref="BP9:BQ19" si="0">BM9/$BO9/1000</f>
        <v>1.1415078610552385</v>
      </c>
      <c r="BQ9" s="95">
        <f t="shared" si="0"/>
        <v>0.71691578453630334</v>
      </c>
      <c r="BS9" s="458" t="s">
        <v>876</v>
      </c>
      <c r="BT9" s="459">
        <v>220.46244201837774</v>
      </c>
      <c r="BU9" s="460">
        <v>0.71691578453630334</v>
      </c>
      <c r="BV9" s="461">
        <v>1.1415078610552385</v>
      </c>
      <c r="BW9" s="462">
        <v>3634</v>
      </c>
      <c r="BX9" s="96"/>
      <c r="BY9" s="97" t="str">
        <f>W9</f>
        <v>US Average</v>
      </c>
      <c r="BZ9" s="98">
        <f t="shared" ref="BZ9:BZ34" si="1">AF9</f>
        <v>767.20899999999995</v>
      </c>
      <c r="CA9" s="98">
        <f t="shared" ref="CA9:CA34" si="2">AE9</f>
        <v>0.35899999999999999</v>
      </c>
      <c r="CB9" s="98">
        <f t="shared" ref="CB9:CB34" si="3">AD9</f>
        <v>0.45200000000000001</v>
      </c>
      <c r="CC9" s="79">
        <f t="shared" ref="CC9:CC34" si="4">AZ9</f>
        <v>5223.0111160094129</v>
      </c>
      <c r="CD9" s="99"/>
      <c r="CF9" s="100" t="s">
        <v>877</v>
      </c>
      <c r="CG9" s="101">
        <v>18</v>
      </c>
      <c r="CH9" s="102">
        <v>104</v>
      </c>
      <c r="CI9" s="103">
        <v>0.51</v>
      </c>
      <c r="CL9" s="100">
        <v>1.1023099999999999</v>
      </c>
      <c r="CM9" s="104" t="s">
        <v>878</v>
      </c>
      <c r="CP9" s="105" t="s">
        <v>879</v>
      </c>
      <c r="CR9" s="100" t="s">
        <v>87</v>
      </c>
      <c r="CS9" s="104" t="s">
        <v>88</v>
      </c>
      <c r="CT9">
        <v>2</v>
      </c>
      <c r="CU9" s="104" t="s">
        <v>880</v>
      </c>
      <c r="CW9" s="62" t="s">
        <v>85</v>
      </c>
      <c r="CX9" s="66" t="str">
        <f>CW9</f>
        <v>US Average</v>
      </c>
      <c r="CY9" s="104" t="s">
        <v>288</v>
      </c>
      <c r="CZ9" s="104" t="s">
        <v>288</v>
      </c>
      <c r="DA9" s="104" t="s">
        <v>881</v>
      </c>
      <c r="DB9" s="104" t="s">
        <v>881</v>
      </c>
      <c r="DC9" s="104" t="s">
        <v>876</v>
      </c>
    </row>
    <row r="10" spans="2:107" ht="15" customHeight="1" x14ac:dyDescent="0.25">
      <c r="B10" s="53"/>
      <c r="C10" s="54"/>
      <c r="D10" s="54"/>
      <c r="E10" s="82"/>
      <c r="F10" s="54"/>
      <c r="G10" s="54"/>
      <c r="H10" s="54"/>
      <c r="I10" s="570" t="s">
        <v>882</v>
      </c>
      <c r="J10" s="570"/>
      <c r="K10" s="570"/>
      <c r="L10" s="570"/>
      <c r="M10" s="570"/>
      <c r="N10" s="570"/>
      <c r="O10" s="570"/>
      <c r="P10" s="570"/>
      <c r="Q10" s="570"/>
      <c r="R10" s="570"/>
      <c r="S10" s="570"/>
      <c r="T10" s="56"/>
      <c r="V10" s="519">
        <v>1</v>
      </c>
      <c r="W10" s="457" t="s">
        <v>88</v>
      </c>
      <c r="X10" s="520">
        <v>3095.5</v>
      </c>
      <c r="Y10" s="520">
        <v>39933923.741999999</v>
      </c>
      <c r="Z10" s="520">
        <v>6678905.1610000003</v>
      </c>
      <c r="AA10" s="520">
        <v>20591.981</v>
      </c>
      <c r="AB10" s="520">
        <v>1349.979</v>
      </c>
      <c r="AC10" s="520">
        <v>2704368.9870000002</v>
      </c>
      <c r="AD10" s="520">
        <v>6.1660000000000004</v>
      </c>
      <c r="AE10" s="520">
        <v>0.40400000000000003</v>
      </c>
      <c r="AF10" s="520">
        <v>809.82399999999996</v>
      </c>
      <c r="AG10" s="520">
        <v>1.0309999999999999</v>
      </c>
      <c r="AH10" s="520">
        <v>1.107</v>
      </c>
      <c r="AI10" s="520">
        <v>6.8000000000000005E-2</v>
      </c>
      <c r="AJ10" s="520">
        <v>135.44200000000001</v>
      </c>
      <c r="AK10" s="520">
        <v>8.6310000000000002</v>
      </c>
      <c r="AL10" s="520">
        <v>0.56299999999999994</v>
      </c>
      <c r="AM10" s="520">
        <v>1134.6969999999999</v>
      </c>
      <c r="AN10" s="520">
        <v>1.0409999999999999</v>
      </c>
      <c r="AO10" s="520">
        <v>6.8000000000000005E-2</v>
      </c>
      <c r="AP10" s="520">
        <v>136.80500000000001</v>
      </c>
      <c r="AQ10" s="520">
        <v>730681.46</v>
      </c>
      <c r="AR10" s="520">
        <v>848592.32499999995</v>
      </c>
      <c r="AS10" s="520">
        <v>3182407.1030000001</v>
      </c>
      <c r="AT10" s="520">
        <v>0</v>
      </c>
      <c r="AU10" s="520">
        <v>0.109</v>
      </c>
      <c r="AV10" s="520">
        <v>0.127</v>
      </c>
      <c r="AW10" s="520">
        <v>0.47599999999999998</v>
      </c>
      <c r="AX10" s="520">
        <v>0</v>
      </c>
      <c r="AY10" s="520">
        <v>0.71899999999999997</v>
      </c>
      <c r="AZ10" s="517">
        <f t="shared" ref="AZ10:AZ73" si="5">Y10/Z10*1000</f>
        <v>5979.1122615702616</v>
      </c>
      <c r="BA10" s="518">
        <f t="shared" ref="BA10:BA73" si="6">Y10/(SUM(AQ10:AT10))*1000</f>
        <v>8386.5182655642075</v>
      </c>
      <c r="BC10" s="80" t="s">
        <v>876</v>
      </c>
      <c r="BD10" s="108">
        <v>100</v>
      </c>
      <c r="BE10" s="109">
        <v>100</v>
      </c>
      <c r="BF10" s="110">
        <v>220.46244201837774</v>
      </c>
      <c r="BG10" s="110">
        <v>220.46244201837774</v>
      </c>
      <c r="BH10" s="111">
        <f>IF(BD10=0,0,BE10/BD10-1)</f>
        <v>0</v>
      </c>
      <c r="BJ10" s="104" t="s">
        <v>200</v>
      </c>
      <c r="BK10" s="99">
        <v>114491.81096</v>
      </c>
      <c r="BL10" s="99">
        <v>84030.117501149434</v>
      </c>
      <c r="BM10" s="112">
        <v>252410936.27863517</v>
      </c>
      <c r="BN10" s="113">
        <v>185254477.64538407</v>
      </c>
      <c r="BO10" s="99">
        <v>64600</v>
      </c>
      <c r="BP10" s="114">
        <f t="shared" si="0"/>
        <v>3.9072900352729905</v>
      </c>
      <c r="BQ10" s="115">
        <f t="shared" si="0"/>
        <v>2.8677163722195678</v>
      </c>
      <c r="BS10" s="463" t="s">
        <v>200</v>
      </c>
      <c r="BT10" s="464">
        <v>1036.1734774863755</v>
      </c>
      <c r="BU10" s="465">
        <v>2.8677163722195678</v>
      </c>
      <c r="BV10" s="466">
        <v>3.9072900352729905</v>
      </c>
      <c r="BW10" s="467">
        <v>10177</v>
      </c>
      <c r="BX10" s="96"/>
      <c r="BY10" s="117" t="str">
        <f t="shared" ref="BY10:BY34" si="7">W10</f>
        <v>AK</v>
      </c>
      <c r="BZ10" s="118">
        <f t="shared" si="1"/>
        <v>809.82399999999996</v>
      </c>
      <c r="CA10" s="118">
        <f t="shared" si="2"/>
        <v>0.40400000000000003</v>
      </c>
      <c r="CB10" s="118">
        <f t="shared" si="3"/>
        <v>6.1660000000000004</v>
      </c>
      <c r="CC10" s="119">
        <f t="shared" si="4"/>
        <v>5979.1122615702616</v>
      </c>
      <c r="CD10" s="99"/>
      <c r="CF10" s="100" t="s">
        <v>883</v>
      </c>
      <c r="CG10" s="101">
        <v>5</v>
      </c>
      <c r="CH10" s="102">
        <v>50</v>
      </c>
      <c r="CI10" s="103">
        <v>0.54</v>
      </c>
      <c r="CL10" s="100">
        <v>9.9975999999999995E-2</v>
      </c>
      <c r="CM10" s="104" t="s">
        <v>884</v>
      </c>
      <c r="CR10" s="100" t="s">
        <v>90</v>
      </c>
      <c r="CS10" s="104" t="s">
        <v>91</v>
      </c>
      <c r="CT10">
        <v>3</v>
      </c>
      <c r="CU10" s="105" t="s">
        <v>798</v>
      </c>
      <c r="CW10" s="104" t="s">
        <v>87</v>
      </c>
      <c r="CX10" s="104" t="s">
        <v>87</v>
      </c>
      <c r="CY10" s="104" t="s">
        <v>291</v>
      </c>
      <c r="CZ10" s="104" t="s">
        <v>291</v>
      </c>
      <c r="DA10" s="104" t="s">
        <v>885</v>
      </c>
      <c r="DB10" s="104" t="s">
        <v>885</v>
      </c>
      <c r="DC10" s="104" t="s">
        <v>200</v>
      </c>
    </row>
    <row r="11" spans="2:107" ht="15" customHeight="1" x14ac:dyDescent="0.25">
      <c r="B11" s="53"/>
      <c r="C11" s="120" t="s">
        <v>886</v>
      </c>
      <c r="D11" s="120"/>
      <c r="E11" s="121" t="s">
        <v>31</v>
      </c>
      <c r="F11" s="120"/>
      <c r="G11" s="120"/>
      <c r="H11" s="120"/>
      <c r="I11" s="121" t="s">
        <v>887</v>
      </c>
      <c r="J11" s="121"/>
      <c r="K11" s="121"/>
      <c r="L11" s="121"/>
      <c r="M11" s="121"/>
      <c r="N11" s="121"/>
      <c r="O11" s="121"/>
      <c r="P11" s="121"/>
      <c r="Q11" s="121" t="s">
        <v>888</v>
      </c>
      <c r="R11" s="121"/>
      <c r="S11" s="121" t="s">
        <v>889</v>
      </c>
      <c r="T11" s="56"/>
      <c r="V11" s="519">
        <v>2</v>
      </c>
      <c r="W11" s="457" t="s">
        <v>91</v>
      </c>
      <c r="X11" s="520">
        <v>32924</v>
      </c>
      <c r="Y11" s="520">
        <v>685579327.98000002</v>
      </c>
      <c r="Z11" s="520">
        <v>138596256.477</v>
      </c>
      <c r="AA11" s="520">
        <v>14811.073</v>
      </c>
      <c r="AB11" s="520">
        <v>6423.2849999999999</v>
      </c>
      <c r="AC11" s="520">
        <v>49270107.590999998</v>
      </c>
      <c r="AD11" s="520">
        <v>0.214</v>
      </c>
      <c r="AE11" s="520">
        <v>9.2999999999999999E-2</v>
      </c>
      <c r="AF11" s="520">
        <v>710.98800000000006</v>
      </c>
      <c r="AG11" s="520">
        <v>4.2999999999999997E-2</v>
      </c>
      <c r="AH11" s="520">
        <v>4.5999999999999999E-2</v>
      </c>
      <c r="AI11" s="520">
        <v>1.9E-2</v>
      </c>
      <c r="AJ11" s="520">
        <v>143.733</v>
      </c>
      <c r="AK11" s="520">
        <v>0.33100000000000002</v>
      </c>
      <c r="AL11" s="520">
        <v>5.7000000000000002E-2</v>
      </c>
      <c r="AM11" s="520">
        <v>1232.6890000000001</v>
      </c>
      <c r="AN11" s="520">
        <v>0.04</v>
      </c>
      <c r="AO11" s="520">
        <v>7.0000000000000001E-3</v>
      </c>
      <c r="AP11" s="520">
        <v>147.88499999999999</v>
      </c>
      <c r="AQ11" s="520">
        <v>18975689.600000001</v>
      </c>
      <c r="AR11" s="520">
        <v>23792.080000000002</v>
      </c>
      <c r="AS11" s="520">
        <v>61216629.167999998</v>
      </c>
      <c r="AT11" s="520">
        <v>31.529</v>
      </c>
      <c r="AU11" s="520">
        <v>0.13700000000000001</v>
      </c>
      <c r="AV11" s="520">
        <v>0</v>
      </c>
      <c r="AW11" s="520">
        <v>0.442</v>
      </c>
      <c r="AX11" s="520">
        <v>0</v>
      </c>
      <c r="AY11" s="520">
        <v>0.60199999999999998</v>
      </c>
      <c r="AZ11" s="517">
        <f t="shared" si="5"/>
        <v>4946.5934030748631</v>
      </c>
      <c r="BA11" s="518">
        <f t="shared" si="6"/>
        <v>8546.6504330002917</v>
      </c>
      <c r="BC11" s="100" t="s">
        <v>200</v>
      </c>
      <c r="BD11" s="101">
        <v>470</v>
      </c>
      <c r="BE11" s="122">
        <v>490</v>
      </c>
      <c r="BF11" s="123">
        <v>1036.1734774863755</v>
      </c>
      <c r="BG11" s="123">
        <v>1080.2659658900511</v>
      </c>
      <c r="BH11" s="111">
        <f t="shared" ref="BH11:BH20" si="8">IF(BD11=0,0,BE11/BD11-1)</f>
        <v>4.2553191489361764E-2</v>
      </c>
      <c r="BJ11" s="104" t="s">
        <v>202</v>
      </c>
      <c r="BK11" s="99">
        <v>138.70479504146181</v>
      </c>
      <c r="BL11" s="99">
        <v>2088.8573668881386</v>
      </c>
      <c r="BM11" s="112">
        <v>305791.3652443075</v>
      </c>
      <c r="BN11" s="113">
        <v>4605136.7281889282</v>
      </c>
      <c r="BO11" s="99">
        <v>56300</v>
      </c>
      <c r="BP11" s="114">
        <f t="shared" si="0"/>
        <v>5.4314629705916077E-3</v>
      </c>
      <c r="BQ11" s="115">
        <f t="shared" si="0"/>
        <v>8.1796389488258042E-2</v>
      </c>
      <c r="BS11" s="463" t="s">
        <v>202</v>
      </c>
      <c r="BT11" s="464">
        <v>30.864741882572886</v>
      </c>
      <c r="BU11" s="465">
        <v>8.1796389488258042E-2</v>
      </c>
      <c r="BV11" s="466">
        <v>5.4314629705916077E-3</v>
      </c>
      <c r="BW11" s="468">
        <v>437</v>
      </c>
      <c r="BX11" s="76"/>
      <c r="BY11" s="117" t="str">
        <f t="shared" si="7"/>
        <v>AL</v>
      </c>
      <c r="BZ11" s="118">
        <f t="shared" si="1"/>
        <v>710.98800000000006</v>
      </c>
      <c r="CA11" s="118">
        <f t="shared" si="2"/>
        <v>9.2999999999999999E-2</v>
      </c>
      <c r="CB11" s="118">
        <f t="shared" si="3"/>
        <v>0.214</v>
      </c>
      <c r="CC11" s="119">
        <f t="shared" si="4"/>
        <v>4946.5934030748631</v>
      </c>
      <c r="CD11" s="99"/>
      <c r="CF11" s="100" t="s">
        <v>890</v>
      </c>
      <c r="CG11" s="101">
        <v>15</v>
      </c>
      <c r="CH11" s="102">
        <v>32</v>
      </c>
      <c r="CI11" s="124">
        <v>0.18</v>
      </c>
      <c r="CL11" s="100">
        <v>2000</v>
      </c>
      <c r="CM11" s="104" t="s">
        <v>891</v>
      </c>
      <c r="CR11" s="100" t="s">
        <v>93</v>
      </c>
      <c r="CS11" s="104" t="s">
        <v>94</v>
      </c>
      <c r="CW11" s="104" t="s">
        <v>90</v>
      </c>
      <c r="CX11" s="104" t="s">
        <v>90</v>
      </c>
      <c r="CY11" s="104" t="s">
        <v>514</v>
      </c>
      <c r="CZ11" s="104" t="s">
        <v>514</v>
      </c>
      <c r="DA11" s="104" t="s">
        <v>892</v>
      </c>
      <c r="DB11" s="104" t="s">
        <v>892</v>
      </c>
      <c r="DC11" s="104" t="s">
        <v>202</v>
      </c>
    </row>
    <row r="12" spans="2:107" ht="15" customHeight="1" x14ac:dyDescent="0.25">
      <c r="B12" s="53"/>
      <c r="C12" s="54"/>
      <c r="D12" s="54"/>
      <c r="E12" s="82"/>
      <c r="F12" s="54"/>
      <c r="G12" s="54"/>
      <c r="H12" s="54"/>
      <c r="I12" s="54"/>
      <c r="J12" s="54"/>
      <c r="K12" s="54"/>
      <c r="L12" s="54"/>
      <c r="M12" s="54"/>
      <c r="N12" s="54"/>
      <c r="O12" s="54"/>
      <c r="P12" s="54"/>
      <c r="Q12" s="54"/>
      <c r="R12" s="54"/>
      <c r="S12" s="54"/>
      <c r="T12" s="56"/>
      <c r="V12" s="519">
        <v>3</v>
      </c>
      <c r="W12" s="457" t="s">
        <v>94</v>
      </c>
      <c r="X12" s="520">
        <v>17060.099999999999</v>
      </c>
      <c r="Y12" s="520">
        <v>387817293.43800002</v>
      </c>
      <c r="Z12" s="520">
        <v>63195646.552000001</v>
      </c>
      <c r="AA12" s="520">
        <v>15231.232</v>
      </c>
      <c r="AB12" s="520">
        <v>27092.375</v>
      </c>
      <c r="AC12" s="520">
        <v>31389681.647</v>
      </c>
      <c r="AD12" s="520">
        <v>0.48199999999999998</v>
      </c>
      <c r="AE12" s="520">
        <v>0.85699999999999998</v>
      </c>
      <c r="AF12" s="520">
        <v>993.41300000000001</v>
      </c>
      <c r="AG12" s="520">
        <v>7.9000000000000001E-2</v>
      </c>
      <c r="AH12" s="520">
        <v>8.3000000000000004E-2</v>
      </c>
      <c r="AI12" s="520">
        <v>0.14000000000000001</v>
      </c>
      <c r="AJ12" s="520">
        <v>161.87899999999999</v>
      </c>
      <c r="AK12" s="520">
        <v>0.68500000000000005</v>
      </c>
      <c r="AL12" s="520">
        <v>1.2010000000000001</v>
      </c>
      <c r="AM12" s="520">
        <v>1450.0160000000001</v>
      </c>
      <c r="AN12" s="520">
        <v>7.6999999999999999E-2</v>
      </c>
      <c r="AO12" s="520">
        <v>0.13600000000000001</v>
      </c>
      <c r="AP12" s="520">
        <v>163.68299999999999</v>
      </c>
      <c r="AQ12" s="520">
        <v>16844436.438999999</v>
      </c>
      <c r="AR12" s="520">
        <v>44534.565999999999</v>
      </c>
      <c r="AS12" s="520">
        <v>26487466.594000001</v>
      </c>
      <c r="AT12" s="520">
        <v>6914.3739999999998</v>
      </c>
      <c r="AU12" s="520">
        <v>0.26700000000000002</v>
      </c>
      <c r="AV12" s="520">
        <v>1E-3</v>
      </c>
      <c r="AW12" s="520">
        <v>0.41899999999999998</v>
      </c>
      <c r="AX12" s="520">
        <v>0</v>
      </c>
      <c r="AY12" s="520">
        <v>0.69799999999999995</v>
      </c>
      <c r="AZ12" s="517">
        <f t="shared" si="5"/>
        <v>6136.7723031188216</v>
      </c>
      <c r="BA12" s="518">
        <f t="shared" si="6"/>
        <v>8939.3114132665778</v>
      </c>
      <c r="BC12" s="100" t="s">
        <v>202</v>
      </c>
      <c r="BD12" s="101">
        <v>14</v>
      </c>
      <c r="BE12" s="122">
        <v>15</v>
      </c>
      <c r="BF12" s="123">
        <v>30.864741882572886</v>
      </c>
      <c r="BG12" s="123">
        <v>33.069366302756663</v>
      </c>
      <c r="BH12" s="125">
        <f t="shared" si="8"/>
        <v>7.1428571428571397E-2</v>
      </c>
      <c r="BJ12" s="104" t="s">
        <v>204</v>
      </c>
      <c r="BK12" s="99">
        <v>664.74159214250608</v>
      </c>
      <c r="BL12" s="99">
        <v>442.07568449616576</v>
      </c>
      <c r="BM12" s="112">
        <v>1465502.6088692115</v>
      </c>
      <c r="BN12" s="113">
        <v>974608.89555393695</v>
      </c>
      <c r="BO12" s="99">
        <v>35100</v>
      </c>
      <c r="BP12" s="114">
        <f t="shared" si="0"/>
        <v>4.1752211078894916E-2</v>
      </c>
      <c r="BQ12" s="115">
        <f t="shared" si="0"/>
        <v>2.7766635200966863E-2</v>
      </c>
      <c r="BS12" s="463" t="s">
        <v>204</v>
      </c>
      <c r="BT12" s="464">
        <v>2.866011746238911</v>
      </c>
      <c r="BU12" s="465">
        <v>2.7766635200966863E-2</v>
      </c>
      <c r="BV12" s="466">
        <v>4.1752211078894916E-2</v>
      </c>
      <c r="BW12" s="468">
        <v>300</v>
      </c>
      <c r="BX12" s="76"/>
      <c r="BY12" s="117" t="str">
        <f t="shared" si="7"/>
        <v>AR</v>
      </c>
      <c r="BZ12" s="118">
        <f t="shared" si="1"/>
        <v>993.41300000000001</v>
      </c>
      <c r="CA12" s="118">
        <f t="shared" si="2"/>
        <v>0.85699999999999998</v>
      </c>
      <c r="CB12" s="118">
        <f t="shared" si="3"/>
        <v>0.48199999999999998</v>
      </c>
      <c r="CC12" s="119">
        <f t="shared" si="4"/>
        <v>6136.7723031188216</v>
      </c>
      <c r="CD12" s="99"/>
      <c r="CF12" s="100" t="s">
        <v>893</v>
      </c>
      <c r="CG12" s="101">
        <v>5</v>
      </c>
      <c r="CH12" s="102">
        <v>136</v>
      </c>
      <c r="CI12" s="103">
        <v>0.37</v>
      </c>
      <c r="CL12" s="85">
        <v>453.59199999999998</v>
      </c>
      <c r="CM12" s="105" t="s">
        <v>894</v>
      </c>
      <c r="CR12" s="100" t="s">
        <v>96</v>
      </c>
      <c r="CS12" s="104" t="s">
        <v>97</v>
      </c>
      <c r="CW12" s="104" t="s">
        <v>93</v>
      </c>
      <c r="CX12" s="104" t="s">
        <v>93</v>
      </c>
      <c r="CY12" s="104" t="s">
        <v>349</v>
      </c>
      <c r="CZ12" s="104" t="s">
        <v>349</v>
      </c>
      <c r="DA12" s="104" t="s">
        <v>895</v>
      </c>
      <c r="DB12" s="104" t="s">
        <v>895</v>
      </c>
      <c r="DC12" s="104" t="s">
        <v>204</v>
      </c>
    </row>
    <row r="13" spans="2:107" ht="15" customHeight="1" x14ac:dyDescent="0.25">
      <c r="B13" s="53"/>
      <c r="C13" s="126" t="s">
        <v>896</v>
      </c>
      <c r="D13" s="126"/>
      <c r="E13" s="127">
        <f>Calc!B77*1000</f>
        <v>13713.426616191495</v>
      </c>
      <c r="F13" s="128"/>
      <c r="G13" s="129"/>
      <c r="H13" s="130" t="s">
        <v>897</v>
      </c>
      <c r="I13" s="127"/>
      <c r="J13" s="131"/>
      <c r="K13" s="127"/>
      <c r="L13" s="131"/>
      <c r="M13" s="127"/>
      <c r="N13" s="131"/>
      <c r="O13" s="127"/>
      <c r="P13" s="131"/>
      <c r="Q13" s="127"/>
      <c r="R13" s="131"/>
      <c r="S13" s="127"/>
      <c r="T13" s="56"/>
      <c r="V13" s="519">
        <v>4</v>
      </c>
      <c r="W13" s="457" t="s">
        <v>97</v>
      </c>
      <c r="X13" s="520">
        <v>33107.599999999999</v>
      </c>
      <c r="Y13" s="520">
        <v>544411241.40799999</v>
      </c>
      <c r="Z13" s="520">
        <v>111820945.514</v>
      </c>
      <c r="AA13" s="520">
        <v>16561.587</v>
      </c>
      <c r="AB13" s="520">
        <v>7036.3410000000003</v>
      </c>
      <c r="AC13" s="520">
        <v>38393040.736000001</v>
      </c>
      <c r="AD13" s="520">
        <v>0.29599999999999999</v>
      </c>
      <c r="AE13" s="520">
        <v>0.126</v>
      </c>
      <c r="AF13" s="520">
        <v>686.68799999999999</v>
      </c>
      <c r="AG13" s="520">
        <v>6.0999999999999999E-2</v>
      </c>
      <c r="AH13" s="520">
        <v>5.8999999999999997E-2</v>
      </c>
      <c r="AI13" s="520">
        <v>2.5999999999999999E-2</v>
      </c>
      <c r="AJ13" s="520">
        <v>141.04400000000001</v>
      </c>
      <c r="AK13" s="520">
        <v>0.503</v>
      </c>
      <c r="AL13" s="520">
        <v>0.215</v>
      </c>
      <c r="AM13" s="520">
        <v>1182.5809999999999</v>
      </c>
      <c r="AN13" s="520">
        <v>0.06</v>
      </c>
      <c r="AO13" s="520">
        <v>2.5999999999999999E-2</v>
      </c>
      <c r="AP13" s="520">
        <v>141.96299999999999</v>
      </c>
      <c r="AQ13" s="520">
        <v>12068553.369999999</v>
      </c>
      <c r="AR13" s="520">
        <v>31568.289000000001</v>
      </c>
      <c r="AS13" s="520">
        <v>52817502.637000002</v>
      </c>
      <c r="AT13" s="520">
        <v>0</v>
      </c>
      <c r="AU13" s="520">
        <v>0.108</v>
      </c>
      <c r="AV13" s="520">
        <v>0</v>
      </c>
      <c r="AW13" s="520">
        <v>0.47199999999999998</v>
      </c>
      <c r="AX13" s="520">
        <v>0</v>
      </c>
      <c r="AY13" s="520">
        <v>0.58199999999999996</v>
      </c>
      <c r="AZ13" s="517">
        <f t="shared" si="5"/>
        <v>4868.5980869285313</v>
      </c>
      <c r="BA13" s="518">
        <f t="shared" si="6"/>
        <v>8386.1855283811528</v>
      </c>
      <c r="BC13" s="100" t="s">
        <v>204</v>
      </c>
      <c r="BD13" s="101">
        <v>1.3</v>
      </c>
      <c r="BE13" s="122">
        <v>1.4</v>
      </c>
      <c r="BF13" s="123">
        <v>2.866011746238911</v>
      </c>
      <c r="BG13" s="123">
        <v>3.0864741882572888</v>
      </c>
      <c r="BH13" s="125">
        <f t="shared" si="8"/>
        <v>7.6923076923076872E-2</v>
      </c>
      <c r="BJ13" s="104" t="s">
        <v>206</v>
      </c>
      <c r="BK13" s="99">
        <v>4865.954167387863</v>
      </c>
      <c r="BL13" s="99">
        <v>7004.945850948815</v>
      </c>
      <c r="BM13" s="112">
        <v>10727579.87650663</v>
      </c>
      <c r="BN13" s="113">
        <v>15443243.721918777</v>
      </c>
      <c r="BO13" s="99">
        <v>11200</v>
      </c>
      <c r="BP13" s="114">
        <f t="shared" si="0"/>
        <v>0.95781963183094909</v>
      </c>
      <c r="BQ13" s="115">
        <f t="shared" si="0"/>
        <v>1.3788610465998909</v>
      </c>
      <c r="BS13" s="463" t="s">
        <v>206</v>
      </c>
      <c r="BT13" s="464">
        <v>727.52605866064664</v>
      </c>
      <c r="BU13" s="465">
        <v>1.3788610465998909</v>
      </c>
      <c r="BV13" s="466">
        <v>0.95781963183094909</v>
      </c>
      <c r="BW13" s="467">
        <v>2720</v>
      </c>
      <c r="BX13" s="96"/>
      <c r="BY13" s="117" t="str">
        <f t="shared" si="7"/>
        <v>AZ</v>
      </c>
      <c r="BZ13" s="118">
        <f t="shared" si="1"/>
        <v>686.68799999999999</v>
      </c>
      <c r="CA13" s="118">
        <f t="shared" si="2"/>
        <v>0.126</v>
      </c>
      <c r="CB13" s="118">
        <f t="shared" si="3"/>
        <v>0.29599999999999999</v>
      </c>
      <c r="CC13" s="119">
        <f t="shared" si="4"/>
        <v>4868.5980869285313</v>
      </c>
      <c r="CD13" s="99"/>
      <c r="CF13" s="100" t="s">
        <v>898</v>
      </c>
      <c r="CG13" s="101">
        <v>4</v>
      </c>
      <c r="CH13" s="102">
        <v>101</v>
      </c>
      <c r="CI13" s="103">
        <v>0.25</v>
      </c>
      <c r="CR13" s="100" t="s">
        <v>99</v>
      </c>
      <c r="CS13" s="104" t="s">
        <v>100</v>
      </c>
      <c r="CW13" s="104" t="s">
        <v>96</v>
      </c>
      <c r="CX13" s="104" t="s">
        <v>96</v>
      </c>
      <c r="CY13" s="104" t="s">
        <v>364</v>
      </c>
      <c r="CZ13" s="104" t="s">
        <v>364</v>
      </c>
      <c r="DA13" s="104" t="s">
        <v>899</v>
      </c>
      <c r="DB13" s="104" t="s">
        <v>899</v>
      </c>
      <c r="DC13" s="104" t="s">
        <v>206</v>
      </c>
    </row>
    <row r="14" spans="2:107" ht="15" customHeight="1" x14ac:dyDescent="0.25">
      <c r="B14" s="53"/>
      <c r="C14" s="126"/>
      <c r="D14" s="126"/>
      <c r="E14" s="82"/>
      <c r="F14" s="54"/>
      <c r="G14" s="54"/>
      <c r="H14" s="132" t="s">
        <v>900</v>
      </c>
      <c r="I14" s="54"/>
      <c r="J14" s="54"/>
      <c r="K14" s="54"/>
      <c r="L14" s="54"/>
      <c r="M14" s="54"/>
      <c r="N14" s="54"/>
      <c r="O14" s="54"/>
      <c r="P14" s="54"/>
      <c r="Q14" s="54"/>
      <c r="R14" s="54"/>
      <c r="S14" s="54"/>
      <c r="T14" s="56"/>
      <c r="V14" s="519">
        <v>5</v>
      </c>
      <c r="W14" s="457" t="s">
        <v>100</v>
      </c>
      <c r="X14" s="520">
        <v>96731</v>
      </c>
      <c r="Y14" s="520">
        <v>772978111.95599997</v>
      </c>
      <c r="Z14" s="520">
        <v>216080235.82499999</v>
      </c>
      <c r="AA14" s="520">
        <v>31751.932000000001</v>
      </c>
      <c r="AB14" s="520">
        <v>1366.1990000000001</v>
      </c>
      <c r="AC14" s="520">
        <v>42512302.211999997</v>
      </c>
      <c r="AD14" s="520">
        <v>0.29399999999999998</v>
      </c>
      <c r="AE14" s="520">
        <v>1.2999999999999999E-2</v>
      </c>
      <c r="AF14" s="520">
        <v>393.48599999999999</v>
      </c>
      <c r="AG14" s="520">
        <v>8.2000000000000003E-2</v>
      </c>
      <c r="AH14" s="520">
        <v>8.4000000000000005E-2</v>
      </c>
      <c r="AI14" s="520">
        <v>4.0000000000000001E-3</v>
      </c>
      <c r="AJ14" s="520">
        <v>109.996</v>
      </c>
      <c r="AK14" s="520">
        <v>0.52300000000000002</v>
      </c>
      <c r="AL14" s="520">
        <v>7.0000000000000001E-3</v>
      </c>
      <c r="AM14" s="520">
        <v>873.41</v>
      </c>
      <c r="AN14" s="520">
        <v>7.0999999999999994E-2</v>
      </c>
      <c r="AO14" s="520">
        <v>1E-3</v>
      </c>
      <c r="AP14" s="520">
        <v>118.19</v>
      </c>
      <c r="AQ14" s="520">
        <v>208861.65</v>
      </c>
      <c r="AR14" s="520">
        <v>73419.430999999997</v>
      </c>
      <c r="AS14" s="520">
        <v>94336387.003999993</v>
      </c>
      <c r="AT14" s="520">
        <v>1483673.1740000001</v>
      </c>
      <c r="AU14" s="520">
        <v>1E-3</v>
      </c>
      <c r="AV14" s="520">
        <v>0</v>
      </c>
      <c r="AW14" s="520">
        <v>0.437</v>
      </c>
      <c r="AX14" s="520">
        <v>7.0000000000000001E-3</v>
      </c>
      <c r="AY14" s="520">
        <v>0.46800000000000003</v>
      </c>
      <c r="AZ14" s="517">
        <f t="shared" si="5"/>
        <v>3577.2735484332907</v>
      </c>
      <c r="BA14" s="518">
        <f t="shared" si="6"/>
        <v>8043.2807549692297</v>
      </c>
      <c r="BC14" s="100" t="s">
        <v>206</v>
      </c>
      <c r="BD14" s="101">
        <v>330</v>
      </c>
      <c r="BE14" s="122">
        <v>350</v>
      </c>
      <c r="BF14" s="123">
        <v>727.52605866064664</v>
      </c>
      <c r="BG14" s="123">
        <v>771.61854706432212</v>
      </c>
      <c r="BH14" s="125">
        <f t="shared" si="8"/>
        <v>6.0606060606060552E-2</v>
      </c>
      <c r="BJ14" s="104" t="s">
        <v>208</v>
      </c>
      <c r="BK14" s="99">
        <v>3063.0639999999999</v>
      </c>
      <c r="BL14" s="99">
        <v>3269.4462551396086</v>
      </c>
      <c r="BM14" s="112">
        <v>6752892.1556799989</v>
      </c>
      <c r="BN14" s="113">
        <v>7207886.6030058833</v>
      </c>
      <c r="BO14" s="99">
        <v>41300</v>
      </c>
      <c r="BP14" s="114">
        <f t="shared" si="0"/>
        <v>0.16350828464116218</v>
      </c>
      <c r="BQ14" s="115">
        <f t="shared" si="0"/>
        <v>0.17452509934638943</v>
      </c>
      <c r="BS14" s="463" t="s">
        <v>208</v>
      </c>
      <c r="BT14" s="464">
        <v>37.478615143124216</v>
      </c>
      <c r="BU14" s="465">
        <v>0.17452509934638943</v>
      </c>
      <c r="BV14" s="466">
        <v>0.16350828464116218</v>
      </c>
      <c r="BW14" s="468">
        <v>365</v>
      </c>
      <c r="BX14" s="76"/>
      <c r="BY14" s="117" t="str">
        <f t="shared" si="7"/>
        <v>CA</v>
      </c>
      <c r="BZ14" s="118">
        <f t="shared" si="1"/>
        <v>393.48599999999999</v>
      </c>
      <c r="CA14" s="118">
        <f t="shared" si="2"/>
        <v>1.2999999999999999E-2</v>
      </c>
      <c r="CB14" s="118">
        <f t="shared" si="3"/>
        <v>0.29399999999999998</v>
      </c>
      <c r="CC14" s="119">
        <f t="shared" si="4"/>
        <v>3577.2735484332907</v>
      </c>
      <c r="CD14" s="99"/>
      <c r="CF14" s="100" t="s">
        <v>901</v>
      </c>
      <c r="CG14" s="101">
        <v>108</v>
      </c>
      <c r="CH14" s="102">
        <v>275</v>
      </c>
      <c r="CI14" s="103">
        <v>0.93</v>
      </c>
      <c r="CR14" s="100" t="s">
        <v>101</v>
      </c>
      <c r="CS14" s="104" t="s">
        <v>102</v>
      </c>
      <c r="CW14" s="104" t="s">
        <v>99</v>
      </c>
      <c r="CX14" s="104" t="s">
        <v>99</v>
      </c>
      <c r="CY14" s="104" t="s">
        <v>367</v>
      </c>
      <c r="CZ14" s="104" t="s">
        <v>367</v>
      </c>
      <c r="DA14" s="104" t="s">
        <v>902</v>
      </c>
      <c r="DB14" s="104" t="s">
        <v>902</v>
      </c>
      <c r="DC14" s="104" t="s">
        <v>208</v>
      </c>
    </row>
    <row r="15" spans="2:107" ht="15" customHeight="1" x14ac:dyDescent="0.25">
      <c r="B15" s="53"/>
      <c r="C15" s="126" t="s">
        <v>903</v>
      </c>
      <c r="D15" s="126"/>
      <c r="E15" s="439">
        <f>Calc!I79</f>
        <v>0</v>
      </c>
      <c r="F15" s="128"/>
      <c r="G15" s="129"/>
      <c r="H15" s="130" t="s">
        <v>897</v>
      </c>
      <c r="I15" s="127">
        <f>Calc!B76</f>
        <v>95.422994440657746</v>
      </c>
      <c r="J15" s="131"/>
      <c r="K15" s="127"/>
      <c r="L15" s="131"/>
      <c r="M15" s="127"/>
      <c r="N15" s="131"/>
      <c r="O15" s="326"/>
      <c r="P15" s="131"/>
      <c r="Q15" s="127"/>
      <c r="R15" s="131"/>
      <c r="S15" s="127"/>
      <c r="T15" s="56"/>
      <c r="V15" s="519">
        <v>6</v>
      </c>
      <c r="W15" s="457" t="s">
        <v>102</v>
      </c>
      <c r="X15" s="520">
        <v>21370</v>
      </c>
      <c r="Y15" s="520">
        <v>363925196.50700003</v>
      </c>
      <c r="Z15" s="520">
        <v>57471488.483000003</v>
      </c>
      <c r="AA15" s="520">
        <v>15627.909</v>
      </c>
      <c r="AB15" s="520">
        <v>10073.944</v>
      </c>
      <c r="AC15" s="520">
        <v>31178885.504000001</v>
      </c>
      <c r="AD15" s="520">
        <v>0.54400000000000004</v>
      </c>
      <c r="AE15" s="520">
        <v>0.35099999999999998</v>
      </c>
      <c r="AF15" s="520">
        <v>1085.021</v>
      </c>
      <c r="AG15" s="520">
        <v>8.5999999999999993E-2</v>
      </c>
      <c r="AH15" s="520">
        <v>8.3000000000000004E-2</v>
      </c>
      <c r="AI15" s="520">
        <v>5.5E-2</v>
      </c>
      <c r="AJ15" s="520">
        <v>171.34800000000001</v>
      </c>
      <c r="AK15" s="520">
        <v>0.86</v>
      </c>
      <c r="AL15" s="520">
        <v>0.55900000000000005</v>
      </c>
      <c r="AM15" s="520">
        <v>1732.3340000000001</v>
      </c>
      <c r="AN15" s="520">
        <v>8.5000000000000006E-2</v>
      </c>
      <c r="AO15" s="520">
        <v>5.6000000000000001E-2</v>
      </c>
      <c r="AP15" s="520">
        <v>172.13399999999999</v>
      </c>
      <c r="AQ15" s="520">
        <v>18730017.170000002</v>
      </c>
      <c r="AR15" s="520">
        <v>47733.339</v>
      </c>
      <c r="AS15" s="520">
        <v>17218649.954999998</v>
      </c>
      <c r="AT15" s="520">
        <v>0</v>
      </c>
      <c r="AU15" s="520">
        <v>0.32600000000000001</v>
      </c>
      <c r="AV15" s="520">
        <v>1E-3</v>
      </c>
      <c r="AW15" s="520">
        <v>0.3</v>
      </c>
      <c r="AX15" s="520">
        <v>0</v>
      </c>
      <c r="AY15" s="520">
        <v>0.629</v>
      </c>
      <c r="AZ15" s="517">
        <f t="shared" si="5"/>
        <v>6332.273725860583</v>
      </c>
      <c r="BA15" s="518">
        <f t="shared" si="6"/>
        <v>10110.044110409362</v>
      </c>
      <c r="BC15" s="100" t="s">
        <v>208</v>
      </c>
      <c r="BD15" s="101">
        <v>17</v>
      </c>
      <c r="BE15" s="122">
        <v>18</v>
      </c>
      <c r="BF15" s="123">
        <v>37.478615143124216</v>
      </c>
      <c r="BG15" s="123">
        <v>39.683239563308</v>
      </c>
      <c r="BH15" s="125">
        <f t="shared" si="8"/>
        <v>5.8823529411764719E-2</v>
      </c>
      <c r="BJ15" s="104" t="s">
        <v>210</v>
      </c>
      <c r="BK15" s="99">
        <v>65035.813008830861</v>
      </c>
      <c r="BL15" s="99">
        <v>18433.879842248083</v>
      </c>
      <c r="BM15" s="112">
        <v>143379254.07552868</v>
      </c>
      <c r="BN15" s="113">
        <v>40639700.177816965</v>
      </c>
      <c r="BO15" s="99">
        <v>11400</v>
      </c>
      <c r="BP15" s="114">
        <f t="shared" si="0"/>
        <v>12.577127550484972</v>
      </c>
      <c r="BQ15" s="115">
        <f t="shared" si="0"/>
        <v>3.5648859805102604</v>
      </c>
      <c r="BS15" s="463" t="s">
        <v>210</v>
      </c>
      <c r="BT15" s="464">
        <v>1455.0521173212933</v>
      </c>
      <c r="BU15" s="465">
        <v>3.5648859805102604</v>
      </c>
      <c r="BV15" s="466">
        <v>12.577127550484972</v>
      </c>
      <c r="BW15" s="467">
        <v>5979</v>
      </c>
      <c r="BX15" s="96"/>
      <c r="BY15" s="117" t="str">
        <f t="shared" si="7"/>
        <v>CO</v>
      </c>
      <c r="BZ15" s="118">
        <f t="shared" si="1"/>
        <v>1085.021</v>
      </c>
      <c r="CA15" s="118">
        <f t="shared" si="2"/>
        <v>0.35099999999999998</v>
      </c>
      <c r="CB15" s="118">
        <f t="shared" si="3"/>
        <v>0.54400000000000004</v>
      </c>
      <c r="CC15" s="119">
        <f t="shared" si="4"/>
        <v>6332.273725860583</v>
      </c>
      <c r="CD15" s="99"/>
      <c r="CF15" s="100" t="s">
        <v>904</v>
      </c>
      <c r="CG15" s="101">
        <v>13</v>
      </c>
      <c r="CH15" s="102">
        <v>192</v>
      </c>
      <c r="CI15" s="103">
        <v>0.36</v>
      </c>
      <c r="CR15" s="100" t="s">
        <v>103</v>
      </c>
      <c r="CS15" s="104" t="s">
        <v>104</v>
      </c>
      <c r="CW15" s="104" t="s">
        <v>101</v>
      </c>
      <c r="CX15" s="104" t="s">
        <v>101</v>
      </c>
      <c r="CY15" s="104" t="s">
        <v>544</v>
      </c>
      <c r="CZ15" s="104" t="s">
        <v>544</v>
      </c>
      <c r="DA15" s="104" t="s">
        <v>905</v>
      </c>
      <c r="DB15" s="104" t="s">
        <v>905</v>
      </c>
      <c r="DC15" s="104" t="s">
        <v>210</v>
      </c>
    </row>
    <row r="16" spans="2:107" ht="15" customHeight="1" x14ac:dyDescent="0.25">
      <c r="B16" s="53"/>
      <c r="C16" s="126"/>
      <c r="D16" s="126"/>
      <c r="E16" s="82"/>
      <c r="F16" s="54"/>
      <c r="G16" s="54"/>
      <c r="H16" s="132" t="s">
        <v>906</v>
      </c>
      <c r="I16" s="54"/>
      <c r="J16" s="54"/>
      <c r="K16" s="54"/>
      <c r="L16" s="54"/>
      <c r="M16" s="54"/>
      <c r="N16" s="54"/>
      <c r="O16" s="54"/>
      <c r="P16" s="54"/>
      <c r="Q16" s="54"/>
      <c r="R16" s="54"/>
      <c r="S16" s="54"/>
      <c r="T16" s="56"/>
      <c r="V16" s="519">
        <v>7</v>
      </c>
      <c r="W16" s="457" t="s">
        <v>104</v>
      </c>
      <c r="X16" s="520">
        <v>10965.2</v>
      </c>
      <c r="Y16" s="520">
        <v>189301265.22600001</v>
      </c>
      <c r="Z16" s="520">
        <v>40652074.994999997</v>
      </c>
      <c r="AA16" s="520">
        <v>3890.7220000000002</v>
      </c>
      <c r="AB16" s="520">
        <v>1459.145</v>
      </c>
      <c r="AC16" s="520">
        <v>10940807.505999999</v>
      </c>
      <c r="AD16" s="520">
        <v>0.191</v>
      </c>
      <c r="AE16" s="520">
        <v>7.1999999999999995E-2</v>
      </c>
      <c r="AF16" s="520">
        <v>538.26599999999996</v>
      </c>
      <c r="AG16" s="520">
        <v>4.1000000000000002E-2</v>
      </c>
      <c r="AH16" s="520">
        <v>3.9E-2</v>
      </c>
      <c r="AI16" s="520">
        <v>1.4999999999999999E-2</v>
      </c>
      <c r="AJ16" s="520">
        <v>115.59099999999999</v>
      </c>
      <c r="AK16" s="520">
        <v>0.16600000000000001</v>
      </c>
      <c r="AL16" s="520">
        <v>1.7999999999999999E-2</v>
      </c>
      <c r="AM16" s="520">
        <v>810.03</v>
      </c>
      <c r="AN16" s="520">
        <v>2.4E-2</v>
      </c>
      <c r="AO16" s="520">
        <v>3.0000000000000001E-3</v>
      </c>
      <c r="AP16" s="520">
        <v>118.077</v>
      </c>
      <c r="AQ16" s="520">
        <v>0</v>
      </c>
      <c r="AR16" s="520">
        <v>124203.807</v>
      </c>
      <c r="AS16" s="520">
        <v>24943869.370000001</v>
      </c>
      <c r="AT16" s="520">
        <v>429483.83500000002</v>
      </c>
      <c r="AU16" s="520">
        <v>0</v>
      </c>
      <c r="AV16" s="520">
        <v>3.0000000000000001E-3</v>
      </c>
      <c r="AW16" s="520">
        <v>0.61399999999999999</v>
      </c>
      <c r="AX16" s="520">
        <v>1.0999999999999999E-2</v>
      </c>
      <c r="AY16" s="520">
        <v>0.64200000000000002</v>
      </c>
      <c r="AZ16" s="517">
        <f t="shared" si="5"/>
        <v>4656.6199941647046</v>
      </c>
      <c r="BA16" s="518">
        <f t="shared" si="6"/>
        <v>7424.2903011025137</v>
      </c>
      <c r="BC16" s="100" t="s">
        <v>210</v>
      </c>
      <c r="BD16" s="101">
        <v>660</v>
      </c>
      <c r="BE16" s="122">
        <v>700</v>
      </c>
      <c r="BF16" s="123">
        <v>1455.0521173212933</v>
      </c>
      <c r="BG16" s="123">
        <v>1543.2370941286442</v>
      </c>
      <c r="BH16" s="125">
        <f t="shared" si="8"/>
        <v>6.0606060606060552E-2</v>
      </c>
      <c r="BJ16" s="104" t="s">
        <v>212</v>
      </c>
      <c r="BK16" s="99">
        <v>11970.557780341796</v>
      </c>
      <c r="BL16" s="99">
        <v>18987.876697569071</v>
      </c>
      <c r="BM16" s="112">
        <v>26390531.093697131</v>
      </c>
      <c r="BN16" s="113">
        <v>41861052.724994719</v>
      </c>
      <c r="BO16" s="99">
        <v>151000</v>
      </c>
      <c r="BP16" s="114">
        <f t="shared" si="0"/>
        <v>0.17477172909733199</v>
      </c>
      <c r="BQ16" s="115">
        <f t="shared" si="0"/>
        <v>0.27722551473506435</v>
      </c>
      <c r="BS16" s="463" t="s">
        <v>212</v>
      </c>
      <c r="BT16" s="464">
        <v>77.161854706432209</v>
      </c>
      <c r="BU16" s="465">
        <v>0.27722551473506435</v>
      </c>
      <c r="BV16" s="466">
        <v>0.17477172909733199</v>
      </c>
      <c r="BW16" s="467">
        <v>2686</v>
      </c>
      <c r="BX16" s="96"/>
      <c r="BY16" s="117" t="str">
        <f t="shared" si="7"/>
        <v>CT</v>
      </c>
      <c r="BZ16" s="118">
        <f t="shared" si="1"/>
        <v>538.26599999999996</v>
      </c>
      <c r="CA16" s="118">
        <f t="shared" si="2"/>
        <v>7.1999999999999995E-2</v>
      </c>
      <c r="CB16" s="118">
        <f t="shared" si="3"/>
        <v>0.191</v>
      </c>
      <c r="CC16" s="119">
        <f t="shared" si="4"/>
        <v>4656.6199941647046</v>
      </c>
      <c r="CD16" s="99"/>
      <c r="CF16" s="100" t="s">
        <v>907</v>
      </c>
      <c r="CG16" s="101">
        <v>62</v>
      </c>
      <c r="CH16" s="102">
        <v>167</v>
      </c>
      <c r="CI16" s="103">
        <v>0.37</v>
      </c>
      <c r="CR16" s="100" t="s">
        <v>106</v>
      </c>
      <c r="CS16" s="104" t="s">
        <v>107</v>
      </c>
      <c r="CW16" s="104" t="s">
        <v>103</v>
      </c>
      <c r="CX16" s="104" t="s">
        <v>103</v>
      </c>
      <c r="CY16" s="104" t="s">
        <v>372</v>
      </c>
      <c r="CZ16" s="104" t="s">
        <v>372</v>
      </c>
      <c r="DA16" s="105" t="s">
        <v>908</v>
      </c>
      <c r="DB16" s="105" t="s">
        <v>908</v>
      </c>
      <c r="DC16" s="104" t="s">
        <v>212</v>
      </c>
    </row>
    <row r="17" spans="2:107" ht="15" customHeight="1" x14ac:dyDescent="0.25">
      <c r="B17" s="53"/>
      <c r="C17" s="126" t="s">
        <v>909</v>
      </c>
      <c r="D17" s="126"/>
      <c r="E17" s="438">
        <f>Calc!I76</f>
        <v>0</v>
      </c>
      <c r="F17" s="128"/>
      <c r="G17" s="129"/>
      <c r="H17" s="130" t="s">
        <v>897</v>
      </c>
      <c r="I17" s="127"/>
      <c r="J17" s="131"/>
      <c r="K17" s="127"/>
      <c r="L17" s="131"/>
      <c r="M17" s="127"/>
      <c r="N17" s="131"/>
      <c r="O17" s="127"/>
      <c r="P17" s="131"/>
      <c r="Q17" s="127"/>
      <c r="R17" s="131"/>
      <c r="S17" s="127"/>
      <c r="T17" s="56"/>
      <c r="V17" s="519">
        <v>8</v>
      </c>
      <c r="W17" s="457" t="s">
        <v>107</v>
      </c>
      <c r="X17" s="520">
        <v>56.6</v>
      </c>
      <c r="Y17" s="520">
        <v>1490126.7350000001</v>
      </c>
      <c r="Z17" s="520">
        <v>171869.49900000001</v>
      </c>
      <c r="AA17" s="520">
        <v>243.65199999999999</v>
      </c>
      <c r="AB17" s="520">
        <v>2.3570000000000002</v>
      </c>
      <c r="AC17" s="520">
        <v>33866.771999999997</v>
      </c>
      <c r="AD17" s="520">
        <v>2.835</v>
      </c>
      <c r="AE17" s="520">
        <v>2.7E-2</v>
      </c>
      <c r="AF17" s="520">
        <v>394.09899999999999</v>
      </c>
      <c r="AG17" s="520">
        <v>0.32700000000000001</v>
      </c>
      <c r="AH17" s="520">
        <v>0.32</v>
      </c>
      <c r="AI17" s="520">
        <v>3.0000000000000001E-3</v>
      </c>
      <c r="AJ17" s="520">
        <v>45.454999999999998</v>
      </c>
      <c r="AK17" s="520">
        <v>2.6579999999999999</v>
      </c>
      <c r="AL17" s="520">
        <v>2.1000000000000001E-2</v>
      </c>
      <c r="AM17" s="520">
        <v>758.14499999999998</v>
      </c>
      <c r="AN17" s="520">
        <v>0.22600000000000001</v>
      </c>
      <c r="AO17" s="520">
        <v>2E-3</v>
      </c>
      <c r="AP17" s="520">
        <v>64.361999999999995</v>
      </c>
      <c r="AQ17" s="520">
        <v>0</v>
      </c>
      <c r="AR17" s="520">
        <v>53.575000000000003</v>
      </c>
      <c r="AS17" s="520">
        <v>89209.785000000003</v>
      </c>
      <c r="AT17" s="520">
        <v>0</v>
      </c>
      <c r="AU17" s="520">
        <v>0</v>
      </c>
      <c r="AV17" s="520">
        <v>0</v>
      </c>
      <c r="AW17" s="520">
        <v>0.51900000000000002</v>
      </c>
      <c r="AX17" s="520">
        <v>0</v>
      </c>
      <c r="AY17" s="520">
        <v>0.85699999999999998</v>
      </c>
      <c r="AZ17" s="517">
        <f t="shared" si="5"/>
        <v>8670.1057701925347</v>
      </c>
      <c r="BA17" s="518">
        <f t="shared" si="6"/>
        <v>16693.59897498817</v>
      </c>
      <c r="BC17" s="100" t="s">
        <v>212</v>
      </c>
      <c r="BD17" s="101">
        <v>35</v>
      </c>
      <c r="BE17" s="122">
        <v>38</v>
      </c>
      <c r="BF17" s="123">
        <v>77.161854706432209</v>
      </c>
      <c r="BG17" s="123">
        <v>83.775727966983553</v>
      </c>
      <c r="BH17" s="125">
        <f t="shared" si="8"/>
        <v>8.5714285714285632E-2</v>
      </c>
      <c r="BJ17" s="104" t="s">
        <v>214</v>
      </c>
      <c r="BK17" s="99">
        <v>65.63</v>
      </c>
      <c r="BL17" s="99">
        <v>26.841000000000001</v>
      </c>
      <c r="BM17" s="112">
        <v>144689.21059999996</v>
      </c>
      <c r="BN17" s="113">
        <v>59174.205419999998</v>
      </c>
      <c r="BO17" s="99">
        <v>492</v>
      </c>
      <c r="BP17" s="114">
        <f t="shared" si="0"/>
        <v>0.29408376138211373</v>
      </c>
      <c r="BQ17" s="115">
        <f t="shared" si="0"/>
        <v>0.12027277524390242</v>
      </c>
      <c r="BS17" s="463" t="s">
        <v>214</v>
      </c>
      <c r="BT17" s="464">
        <v>4.4092488403675549</v>
      </c>
      <c r="BU17" s="465">
        <v>0.12027277524390242</v>
      </c>
      <c r="BV17" s="466">
        <v>0.29408376138211373</v>
      </c>
      <c r="BW17" s="467">
        <v>7864</v>
      </c>
      <c r="BX17" s="96"/>
      <c r="BY17" s="117" t="str">
        <f t="shared" si="7"/>
        <v>DC</v>
      </c>
      <c r="BZ17" s="118">
        <f t="shared" si="1"/>
        <v>394.09899999999999</v>
      </c>
      <c r="CA17" s="118">
        <f t="shared" si="2"/>
        <v>2.7E-2</v>
      </c>
      <c r="CB17" s="118">
        <f t="shared" si="3"/>
        <v>2.835</v>
      </c>
      <c r="CC17" s="119">
        <f t="shared" si="4"/>
        <v>8670.1057701925347</v>
      </c>
      <c r="CD17" s="99"/>
      <c r="CF17" s="85" t="s">
        <v>910</v>
      </c>
      <c r="CG17" s="86">
        <v>8</v>
      </c>
      <c r="CH17" s="89">
        <v>76</v>
      </c>
      <c r="CI17" s="133">
        <v>0.64</v>
      </c>
      <c r="CR17" s="100" t="s">
        <v>109</v>
      </c>
      <c r="CS17" s="104" t="s">
        <v>110</v>
      </c>
      <c r="CW17" s="104" t="s">
        <v>106</v>
      </c>
      <c r="CX17" s="104" t="s">
        <v>106</v>
      </c>
      <c r="CY17" s="104" t="s">
        <v>911</v>
      </c>
      <c r="CZ17" s="104" t="s">
        <v>911</v>
      </c>
      <c r="DA17" s="104"/>
      <c r="DB17" s="104"/>
      <c r="DC17" s="104" t="s">
        <v>214</v>
      </c>
    </row>
    <row r="18" spans="2:107" ht="15" customHeight="1" x14ac:dyDescent="0.25">
      <c r="B18" s="53"/>
      <c r="C18" s="126"/>
      <c r="D18" s="126"/>
      <c r="E18" s="82"/>
      <c r="F18" s="54"/>
      <c r="G18" s="54"/>
      <c r="H18" s="132" t="s">
        <v>912</v>
      </c>
      <c r="I18" s="54"/>
      <c r="J18" s="54"/>
      <c r="K18" s="54"/>
      <c r="L18" s="54"/>
      <c r="M18" s="54"/>
      <c r="N18" s="54"/>
      <c r="O18" s="54"/>
      <c r="P18" s="54"/>
      <c r="Q18" s="54"/>
      <c r="R18" s="54"/>
      <c r="S18" s="54"/>
      <c r="T18" s="56"/>
      <c r="V18" s="519">
        <v>9</v>
      </c>
      <c r="W18" s="457" t="s">
        <v>110</v>
      </c>
      <c r="X18" s="520">
        <v>3441</v>
      </c>
      <c r="Y18" s="520">
        <v>28665227.745999999</v>
      </c>
      <c r="Z18" s="520">
        <v>4772059.2589999996</v>
      </c>
      <c r="AA18" s="520">
        <v>540.40599999999995</v>
      </c>
      <c r="AB18" s="520">
        <v>175.387</v>
      </c>
      <c r="AC18" s="520">
        <v>1677842.733</v>
      </c>
      <c r="AD18" s="520">
        <v>0.22600000000000001</v>
      </c>
      <c r="AE18" s="520">
        <v>7.3999999999999996E-2</v>
      </c>
      <c r="AF18" s="520">
        <v>703.19399999999996</v>
      </c>
      <c r="AG18" s="520">
        <v>3.7999999999999999E-2</v>
      </c>
      <c r="AH18" s="520">
        <v>0.04</v>
      </c>
      <c r="AI18" s="520">
        <v>1.2E-2</v>
      </c>
      <c r="AJ18" s="520">
        <v>117.065</v>
      </c>
      <c r="AK18" s="520">
        <v>0.316</v>
      </c>
      <c r="AL18" s="520">
        <v>9.8000000000000004E-2</v>
      </c>
      <c r="AM18" s="520">
        <v>984.53700000000003</v>
      </c>
      <c r="AN18" s="520">
        <v>3.9E-2</v>
      </c>
      <c r="AO18" s="520">
        <v>1.2E-2</v>
      </c>
      <c r="AP18" s="520">
        <v>119.92</v>
      </c>
      <c r="AQ18" s="520">
        <v>-6498.4170000000004</v>
      </c>
      <c r="AR18" s="520">
        <v>-1890.86</v>
      </c>
      <c r="AS18" s="520">
        <v>4382640.0319999997</v>
      </c>
      <c r="AT18" s="520">
        <v>172094.23</v>
      </c>
      <c r="AU18" s="520">
        <v>0</v>
      </c>
      <c r="AV18" s="520">
        <v>0</v>
      </c>
      <c r="AW18" s="520">
        <v>0.91800000000000004</v>
      </c>
      <c r="AX18" s="520">
        <v>3.5999999999999997E-2</v>
      </c>
      <c r="AY18" s="520">
        <v>0.96699999999999997</v>
      </c>
      <c r="AZ18" s="517">
        <f t="shared" si="5"/>
        <v>6006.8884710385792</v>
      </c>
      <c r="BA18" s="518">
        <f t="shared" si="6"/>
        <v>6305.1149529076038</v>
      </c>
      <c r="BC18" s="100" t="s">
        <v>214</v>
      </c>
      <c r="BD18" s="101">
        <v>2</v>
      </c>
      <c r="BE18" s="122">
        <v>0</v>
      </c>
      <c r="BF18" s="123">
        <v>4.4092488403675549</v>
      </c>
      <c r="BG18" s="123">
        <v>0</v>
      </c>
      <c r="BH18" s="125">
        <f t="shared" si="8"/>
        <v>-1</v>
      </c>
      <c r="BJ18" s="104" t="s">
        <v>216</v>
      </c>
      <c r="BK18" s="99">
        <v>1622.9466400000001</v>
      </c>
      <c r="BL18" s="99">
        <v>8275.0073475669069</v>
      </c>
      <c r="BM18" s="112">
        <v>3577980.6214768002</v>
      </c>
      <c r="BN18" s="113">
        <v>18243246.698592953</v>
      </c>
      <c r="BO18" s="99">
        <v>177000</v>
      </c>
      <c r="BP18" s="114">
        <f t="shared" si="0"/>
        <v>2.0214579782354802E-2</v>
      </c>
      <c r="BQ18" s="115">
        <f t="shared" si="0"/>
        <v>0.1030691903875308</v>
      </c>
      <c r="BS18" s="463" t="s">
        <v>216</v>
      </c>
      <c r="BT18" s="464">
        <v>2.6455493042205331</v>
      </c>
      <c r="BU18" s="465">
        <v>0.1030691903875308</v>
      </c>
      <c r="BV18" s="466">
        <v>2.0214579782354802E-2</v>
      </c>
      <c r="BW18" s="468">
        <v>101</v>
      </c>
      <c r="BX18" s="76"/>
      <c r="BY18" s="117" t="str">
        <f t="shared" si="7"/>
        <v>DE</v>
      </c>
      <c r="BZ18" s="118">
        <f t="shared" si="1"/>
        <v>703.19399999999996</v>
      </c>
      <c r="CA18" s="118">
        <f t="shared" si="2"/>
        <v>7.3999999999999996E-2</v>
      </c>
      <c r="CB18" s="118">
        <f t="shared" si="3"/>
        <v>0.22600000000000001</v>
      </c>
      <c r="CC18" s="119">
        <f t="shared" si="4"/>
        <v>6006.8884710385792</v>
      </c>
      <c r="CD18" s="99"/>
      <c r="CR18" s="100" t="s">
        <v>111</v>
      </c>
      <c r="CS18" s="104" t="s">
        <v>112</v>
      </c>
      <c r="CW18" s="104" t="s">
        <v>109</v>
      </c>
      <c r="CX18" s="104" t="s">
        <v>109</v>
      </c>
      <c r="CY18" s="104" t="s">
        <v>342</v>
      </c>
      <c r="CZ18" s="104" t="s">
        <v>342</v>
      </c>
      <c r="DA18" s="104"/>
      <c r="DB18" s="104"/>
      <c r="DC18" s="104" t="s">
        <v>216</v>
      </c>
    </row>
    <row r="19" spans="2:107" ht="15" customHeight="1" x14ac:dyDescent="0.25">
      <c r="B19" s="53"/>
      <c r="C19" s="126" t="s">
        <v>913</v>
      </c>
      <c r="D19" s="126"/>
      <c r="E19" s="438">
        <f>Calc!E76</f>
        <v>0</v>
      </c>
      <c r="F19" s="128"/>
      <c r="G19" s="129"/>
      <c r="H19" s="130" t="s">
        <v>897</v>
      </c>
      <c r="I19" s="127"/>
      <c r="J19" s="131"/>
      <c r="K19" s="127"/>
      <c r="L19" s="131"/>
      <c r="M19" s="127"/>
      <c r="N19" s="131"/>
      <c r="O19" s="127"/>
      <c r="P19" s="131"/>
      <c r="Q19" s="127"/>
      <c r="R19" s="131"/>
      <c r="S19" s="127"/>
      <c r="T19" s="56"/>
      <c r="V19" s="519">
        <v>10</v>
      </c>
      <c r="W19" s="457" t="s">
        <v>112</v>
      </c>
      <c r="X19" s="520">
        <v>76100.7</v>
      </c>
      <c r="Y19" s="520">
        <v>1625654877.3559999</v>
      </c>
      <c r="Z19" s="520">
        <v>258099011.94999999</v>
      </c>
      <c r="AA19" s="520">
        <v>32830.269999999997</v>
      </c>
      <c r="AB19" s="520">
        <v>16292.59</v>
      </c>
      <c r="AC19" s="520">
        <v>101516103.816</v>
      </c>
      <c r="AD19" s="520">
        <v>0.254</v>
      </c>
      <c r="AE19" s="520">
        <v>0.126</v>
      </c>
      <c r="AF19" s="520">
        <v>786.64499999999998</v>
      </c>
      <c r="AG19" s="520">
        <v>0.04</v>
      </c>
      <c r="AH19" s="520">
        <v>0.04</v>
      </c>
      <c r="AI19" s="520">
        <v>0.02</v>
      </c>
      <c r="AJ19" s="520">
        <v>124.893</v>
      </c>
      <c r="AK19" s="520">
        <v>0.23200000000000001</v>
      </c>
      <c r="AL19" s="520">
        <v>0.107</v>
      </c>
      <c r="AM19" s="520">
        <v>949.63699999999994</v>
      </c>
      <c r="AN19" s="520">
        <v>3.1E-2</v>
      </c>
      <c r="AO19" s="520">
        <v>1.4E-2</v>
      </c>
      <c r="AP19" s="520">
        <v>126.67</v>
      </c>
      <c r="AQ19" s="520">
        <v>11373250.602</v>
      </c>
      <c r="AR19" s="520">
        <v>1199820.9140000001</v>
      </c>
      <c r="AS19" s="520">
        <v>195830251.875</v>
      </c>
      <c r="AT19" s="520">
        <v>1459664.6680000001</v>
      </c>
      <c r="AU19" s="520">
        <v>4.3999999999999997E-2</v>
      </c>
      <c r="AV19" s="520">
        <v>5.0000000000000001E-3</v>
      </c>
      <c r="AW19" s="520">
        <v>0.75900000000000001</v>
      </c>
      <c r="AX19" s="520">
        <v>6.0000000000000001E-3</v>
      </c>
      <c r="AY19" s="520">
        <v>0.82499999999999996</v>
      </c>
      <c r="AZ19" s="517">
        <f t="shared" si="5"/>
        <v>6298.5707115799751</v>
      </c>
      <c r="BA19" s="518">
        <f t="shared" si="6"/>
        <v>7746.2676596359624</v>
      </c>
      <c r="BC19" s="100" t="s">
        <v>216</v>
      </c>
      <c r="BD19" s="101">
        <v>1.2</v>
      </c>
      <c r="BE19" s="122">
        <v>1.7</v>
      </c>
      <c r="BF19" s="123">
        <v>2.6455493042205331</v>
      </c>
      <c r="BG19" s="123">
        <v>3.7478615143124219</v>
      </c>
      <c r="BH19" s="125">
        <f t="shared" si="8"/>
        <v>0.41666666666666674</v>
      </c>
      <c r="BJ19" s="105" t="s">
        <v>218</v>
      </c>
      <c r="BK19" s="134">
        <v>91918.95660869655</v>
      </c>
      <c r="BL19" s="134">
        <v>36803.729927236527</v>
      </c>
      <c r="BM19" s="135">
        <v>202646370.11866456</v>
      </c>
      <c r="BN19" s="136">
        <v>81138239.072184175</v>
      </c>
      <c r="BO19" s="134">
        <v>20800</v>
      </c>
      <c r="BP19" s="137">
        <f t="shared" si="0"/>
        <v>9.7426139480127194</v>
      </c>
      <c r="BQ19" s="138">
        <f t="shared" si="0"/>
        <v>3.9008768784703931</v>
      </c>
      <c r="BS19" s="469" t="s">
        <v>218</v>
      </c>
      <c r="BT19" s="470">
        <v>1388.9133847157798</v>
      </c>
      <c r="BU19" s="471">
        <v>3.9008768784703931</v>
      </c>
      <c r="BV19" s="472">
        <v>9.7426139480127194</v>
      </c>
      <c r="BW19" s="473">
        <v>5711</v>
      </c>
      <c r="BX19" s="96"/>
      <c r="BY19" s="117" t="str">
        <f t="shared" si="7"/>
        <v>FL</v>
      </c>
      <c r="BZ19" s="118">
        <f t="shared" si="1"/>
        <v>786.64499999999998</v>
      </c>
      <c r="CA19" s="118">
        <f t="shared" si="2"/>
        <v>0.126</v>
      </c>
      <c r="CB19" s="118">
        <f t="shared" si="3"/>
        <v>0.254</v>
      </c>
      <c r="CC19" s="119">
        <f t="shared" si="4"/>
        <v>6298.5707115799751</v>
      </c>
      <c r="CD19" s="99"/>
      <c r="CR19" s="100" t="s">
        <v>113</v>
      </c>
      <c r="CS19" s="104" t="s">
        <v>114</v>
      </c>
      <c r="CW19" s="104" t="s">
        <v>111</v>
      </c>
      <c r="CX19" s="104" t="s">
        <v>111</v>
      </c>
      <c r="CY19" s="104" t="s">
        <v>475</v>
      </c>
      <c r="CZ19" s="104" t="s">
        <v>475</v>
      </c>
      <c r="DA19" s="105"/>
      <c r="DB19" s="105"/>
      <c r="DC19" s="105" t="s">
        <v>218</v>
      </c>
    </row>
    <row r="20" spans="2:107" ht="15" customHeight="1" x14ac:dyDescent="0.25">
      <c r="B20" s="53"/>
      <c r="C20" s="54"/>
      <c r="D20" s="54"/>
      <c r="E20" s="82"/>
      <c r="F20" s="54"/>
      <c r="G20" s="54"/>
      <c r="H20" s="132" t="s">
        <v>914</v>
      </c>
      <c r="I20" s="54"/>
      <c r="J20" s="54"/>
      <c r="K20" s="54"/>
      <c r="L20" s="54"/>
      <c r="M20" s="54"/>
      <c r="N20" s="54"/>
      <c r="O20" s="54"/>
      <c r="P20" s="54"/>
      <c r="Q20" s="54"/>
      <c r="R20" s="54"/>
      <c r="S20" s="54"/>
      <c r="T20" s="56"/>
      <c r="V20" s="519">
        <v>11</v>
      </c>
      <c r="W20" s="457" t="s">
        <v>114</v>
      </c>
      <c r="X20" s="520">
        <v>40609.5</v>
      </c>
      <c r="Y20" s="520">
        <v>676426975.28699994</v>
      </c>
      <c r="Z20" s="520">
        <v>129220273.258</v>
      </c>
      <c r="AA20" s="520">
        <v>18438.114000000001</v>
      </c>
      <c r="AB20" s="520">
        <v>12892.404</v>
      </c>
      <c r="AC20" s="520">
        <v>46120743.101999998</v>
      </c>
      <c r="AD20" s="520">
        <v>0.28499999999999998</v>
      </c>
      <c r="AE20" s="520">
        <v>0.2</v>
      </c>
      <c r="AF20" s="520">
        <v>713.83100000000002</v>
      </c>
      <c r="AG20" s="520">
        <v>5.5E-2</v>
      </c>
      <c r="AH20" s="520">
        <v>3.9E-2</v>
      </c>
      <c r="AI20" s="520">
        <v>3.7999999999999999E-2</v>
      </c>
      <c r="AJ20" s="520">
        <v>136.36600000000001</v>
      </c>
      <c r="AK20" s="520">
        <v>0.39500000000000002</v>
      </c>
      <c r="AL20" s="520">
        <v>0.217</v>
      </c>
      <c r="AM20" s="520">
        <v>1194.4459999999999</v>
      </c>
      <c r="AN20" s="520">
        <v>4.8000000000000001E-2</v>
      </c>
      <c r="AO20" s="520">
        <v>2.5999999999999999E-2</v>
      </c>
      <c r="AP20" s="520">
        <v>145.172</v>
      </c>
      <c r="AQ20" s="520">
        <v>16769056.525</v>
      </c>
      <c r="AR20" s="520">
        <v>235786.7</v>
      </c>
      <c r="AS20" s="520">
        <v>60043962.582999997</v>
      </c>
      <c r="AT20" s="520">
        <v>90858.002999999997</v>
      </c>
      <c r="AU20" s="520">
        <v>0.13</v>
      </c>
      <c r="AV20" s="520">
        <v>2E-3</v>
      </c>
      <c r="AW20" s="520">
        <v>0.46500000000000002</v>
      </c>
      <c r="AX20" s="520">
        <v>1E-3</v>
      </c>
      <c r="AY20" s="520">
        <v>0.63500000000000001</v>
      </c>
      <c r="AZ20" s="517">
        <f t="shared" si="5"/>
        <v>5234.6815111314008</v>
      </c>
      <c r="BA20" s="518">
        <f t="shared" si="6"/>
        <v>8768.8608151613753</v>
      </c>
      <c r="BC20" s="85" t="s">
        <v>218</v>
      </c>
      <c r="BD20" s="86">
        <v>630</v>
      </c>
      <c r="BE20" s="87">
        <v>670</v>
      </c>
      <c r="BF20" s="139">
        <v>1388.9133847157798</v>
      </c>
      <c r="BG20" s="139">
        <v>1477.098361523131</v>
      </c>
      <c r="BH20" s="140">
        <f t="shared" si="8"/>
        <v>6.3492063492063489E-2</v>
      </c>
      <c r="BY20" s="117" t="str">
        <f t="shared" si="7"/>
        <v>GA</v>
      </c>
      <c r="BZ20" s="118">
        <f t="shared" si="1"/>
        <v>713.83100000000002</v>
      </c>
      <c r="CA20" s="118">
        <f t="shared" si="2"/>
        <v>0.2</v>
      </c>
      <c r="CB20" s="118">
        <f t="shared" si="3"/>
        <v>0.28499999999999998</v>
      </c>
      <c r="CC20" s="119">
        <f t="shared" si="4"/>
        <v>5234.6815111314008</v>
      </c>
      <c r="CD20" s="99"/>
      <c r="CR20" s="100" t="s">
        <v>115</v>
      </c>
      <c r="CS20" s="104" t="s">
        <v>116</v>
      </c>
      <c r="CW20" s="104" t="s">
        <v>113</v>
      </c>
      <c r="CX20" s="104" t="s">
        <v>113</v>
      </c>
      <c r="CY20" s="104" t="s">
        <v>469</v>
      </c>
      <c r="CZ20" s="104" t="s">
        <v>469</v>
      </c>
    </row>
    <row r="21" spans="2:107" ht="15" customHeight="1" x14ac:dyDescent="0.25">
      <c r="B21" s="53"/>
      <c r="C21" s="126"/>
      <c r="D21" s="126"/>
      <c r="E21" s="54"/>
      <c r="F21" s="54"/>
      <c r="G21" s="54"/>
      <c r="H21" s="54"/>
      <c r="I21" s="54"/>
      <c r="J21" s="54"/>
      <c r="K21" s="54"/>
      <c r="L21" s="54"/>
      <c r="M21" s="54"/>
      <c r="N21" s="54"/>
      <c r="O21" s="54"/>
      <c r="P21" s="54"/>
      <c r="Q21" s="54"/>
      <c r="R21" s="54"/>
      <c r="S21" s="54"/>
      <c r="T21" s="56"/>
      <c r="V21" s="519">
        <v>12</v>
      </c>
      <c r="W21" s="457" t="s">
        <v>116</v>
      </c>
      <c r="X21" s="520">
        <v>3451.2</v>
      </c>
      <c r="Y21" s="520">
        <v>81226059.821999997</v>
      </c>
      <c r="Z21" s="520">
        <v>9158617.7329999991</v>
      </c>
      <c r="AA21" s="520">
        <v>22671.584999999999</v>
      </c>
      <c r="AB21" s="520">
        <v>19871.901999999998</v>
      </c>
      <c r="AC21" s="520">
        <v>6342943.2209999999</v>
      </c>
      <c r="AD21" s="520">
        <v>4.9509999999999996</v>
      </c>
      <c r="AE21" s="520">
        <v>4.3390000000000004</v>
      </c>
      <c r="AF21" s="520">
        <v>1385.1310000000001</v>
      </c>
      <c r="AG21" s="520">
        <v>0.55800000000000005</v>
      </c>
      <c r="AH21" s="520">
        <v>0.54500000000000004</v>
      </c>
      <c r="AI21" s="520">
        <v>0.48899999999999999</v>
      </c>
      <c r="AJ21" s="520">
        <v>156.18</v>
      </c>
      <c r="AK21" s="520">
        <v>6.0140000000000002</v>
      </c>
      <c r="AL21" s="520">
        <v>5.35</v>
      </c>
      <c r="AM21" s="520">
        <v>1650.194</v>
      </c>
      <c r="AN21" s="520">
        <v>0.59</v>
      </c>
      <c r="AO21" s="520">
        <v>0.52500000000000002</v>
      </c>
      <c r="AP21" s="520">
        <v>161.90600000000001</v>
      </c>
      <c r="AQ21" s="520">
        <v>0</v>
      </c>
      <c r="AR21" s="520">
        <v>7159456.4289999995</v>
      </c>
      <c r="AS21" s="520">
        <v>0</v>
      </c>
      <c r="AT21" s="520">
        <v>177774.96</v>
      </c>
      <c r="AU21" s="520">
        <v>0</v>
      </c>
      <c r="AV21" s="520">
        <v>0.78200000000000003</v>
      </c>
      <c r="AW21" s="520">
        <v>0</v>
      </c>
      <c r="AX21" s="520">
        <v>1.9E-2</v>
      </c>
      <c r="AY21" s="520">
        <v>0.83299999999999996</v>
      </c>
      <c r="AZ21" s="517">
        <f t="shared" si="5"/>
        <v>8868.812105709927</v>
      </c>
      <c r="BA21" s="518">
        <f t="shared" si="6"/>
        <v>11070.39638190699</v>
      </c>
      <c r="BJ21" s="141" t="s">
        <v>915</v>
      </c>
      <c r="BS21" s="51" t="s">
        <v>916</v>
      </c>
      <c r="BY21" s="117" t="str">
        <f t="shared" si="7"/>
        <v>HI</v>
      </c>
      <c r="BZ21" s="118">
        <f t="shared" si="1"/>
        <v>1385.1310000000001</v>
      </c>
      <c r="CA21" s="118">
        <f t="shared" si="2"/>
        <v>4.3390000000000004</v>
      </c>
      <c r="CB21" s="118">
        <f t="shared" si="3"/>
        <v>4.9509999999999996</v>
      </c>
      <c r="CC21" s="119">
        <f t="shared" si="4"/>
        <v>8868.812105709927</v>
      </c>
      <c r="CD21" s="99"/>
      <c r="CR21" s="100" t="s">
        <v>117</v>
      </c>
      <c r="CS21" s="104" t="s">
        <v>118</v>
      </c>
      <c r="CW21" s="104" t="s">
        <v>115</v>
      </c>
      <c r="CX21" s="104" t="s">
        <v>115</v>
      </c>
      <c r="CY21" s="104" t="s">
        <v>345</v>
      </c>
      <c r="CZ21" s="104" t="s">
        <v>345</v>
      </c>
    </row>
    <row r="22" spans="2:107" ht="26.45" customHeight="1" x14ac:dyDescent="0.25">
      <c r="B22" s="53"/>
      <c r="C22" s="435" t="s">
        <v>804</v>
      </c>
      <c r="D22" s="54"/>
      <c r="E22" s="434" t="str">
        <f>LOOKUP(emisProfile,CT8:CT10,CU8:CU10)</f>
        <v>eGrid Subregions Average Fossil</v>
      </c>
      <c r="F22" s="54"/>
      <c r="G22" s="54"/>
      <c r="H22" s="54"/>
      <c r="I22" s="54"/>
      <c r="J22" s="54"/>
      <c r="K22" s="54"/>
      <c r="L22" s="54"/>
      <c r="M22" s="54"/>
      <c r="N22" s="54"/>
      <c r="O22" s="54"/>
      <c r="P22" s="54"/>
      <c r="Q22" s="54"/>
      <c r="R22" s="54"/>
      <c r="S22" s="54"/>
      <c r="T22" s="56"/>
      <c r="V22" s="519">
        <v>13</v>
      </c>
      <c r="W22" s="457" t="s">
        <v>118</v>
      </c>
      <c r="X22" s="520">
        <v>24260.7</v>
      </c>
      <c r="Y22" s="520">
        <v>246426779.24200001</v>
      </c>
      <c r="Z22" s="520">
        <v>69819809.047999993</v>
      </c>
      <c r="AA22" s="520">
        <v>13468.464</v>
      </c>
      <c r="AB22" s="520">
        <v>18148.432000000001</v>
      </c>
      <c r="AC22" s="520">
        <v>21999770.945999999</v>
      </c>
      <c r="AD22" s="520">
        <v>0.38600000000000001</v>
      </c>
      <c r="AE22" s="520">
        <v>0.52</v>
      </c>
      <c r="AF22" s="520">
        <v>630.18700000000001</v>
      </c>
      <c r="AG22" s="520">
        <v>0.109</v>
      </c>
      <c r="AH22" s="520">
        <v>0.114</v>
      </c>
      <c r="AI22" s="520">
        <v>0.14699999999999999</v>
      </c>
      <c r="AJ22" s="520">
        <v>178.55</v>
      </c>
      <c r="AK22" s="520">
        <v>1</v>
      </c>
      <c r="AL22" s="520">
        <v>1.3520000000000001</v>
      </c>
      <c r="AM22" s="520">
        <v>1641.0650000000001</v>
      </c>
      <c r="AN22" s="520">
        <v>0.109</v>
      </c>
      <c r="AO22" s="520">
        <v>0.14799999999999999</v>
      </c>
      <c r="AP22" s="520">
        <v>179.423</v>
      </c>
      <c r="AQ22" s="520">
        <v>16409804.416999999</v>
      </c>
      <c r="AR22" s="520">
        <v>63157.552000000003</v>
      </c>
      <c r="AS22" s="520">
        <v>10235259.619000001</v>
      </c>
      <c r="AT22" s="520">
        <v>0</v>
      </c>
      <c r="AU22" s="520">
        <v>0.23499999999999999</v>
      </c>
      <c r="AV22" s="520">
        <v>1E-3</v>
      </c>
      <c r="AW22" s="520">
        <v>0.14699999999999999</v>
      </c>
      <c r="AX22" s="520">
        <v>0</v>
      </c>
      <c r="AY22" s="520">
        <v>0.38600000000000001</v>
      </c>
      <c r="AZ22" s="517">
        <f t="shared" si="5"/>
        <v>3529.4679633481319</v>
      </c>
      <c r="BA22" s="518">
        <f t="shared" si="6"/>
        <v>9226.6262817259067</v>
      </c>
      <c r="BC22" t="s">
        <v>917</v>
      </c>
      <c r="BJ22" s="40" t="s">
        <v>918</v>
      </c>
      <c r="BS22" s="51" t="s">
        <v>919</v>
      </c>
      <c r="BY22" s="117" t="str">
        <f t="shared" si="7"/>
        <v>IA</v>
      </c>
      <c r="BZ22" s="118">
        <f t="shared" si="1"/>
        <v>630.18700000000001</v>
      </c>
      <c r="CA22" s="118">
        <f t="shared" si="2"/>
        <v>0.52</v>
      </c>
      <c r="CB22" s="118">
        <f t="shared" si="3"/>
        <v>0.38600000000000001</v>
      </c>
      <c r="CC22" s="119">
        <f t="shared" si="4"/>
        <v>3529.4679633481319</v>
      </c>
      <c r="CD22" s="99"/>
      <c r="CR22" s="100" t="s">
        <v>120</v>
      </c>
      <c r="CS22" s="104" t="s">
        <v>121</v>
      </c>
      <c r="CW22" s="104" t="s">
        <v>117</v>
      </c>
      <c r="CX22" s="104" t="s">
        <v>117</v>
      </c>
      <c r="CY22" s="104" t="s">
        <v>414</v>
      </c>
      <c r="CZ22" s="104" t="s">
        <v>414</v>
      </c>
    </row>
    <row r="23" spans="2:107" ht="15" customHeight="1" x14ac:dyDescent="0.25">
      <c r="B23" s="53"/>
      <c r="C23" s="142"/>
      <c r="D23" s="142"/>
      <c r="E23" s="142"/>
      <c r="F23" s="54"/>
      <c r="G23" s="54"/>
      <c r="H23" s="54"/>
      <c r="I23" s="54"/>
      <c r="J23" s="54"/>
      <c r="K23" s="54"/>
      <c r="L23" s="54"/>
      <c r="M23" s="54"/>
      <c r="N23" s="54"/>
      <c r="O23" s="54"/>
      <c r="P23" s="54"/>
      <c r="Q23" s="54"/>
      <c r="R23" s="54"/>
      <c r="S23" s="54"/>
      <c r="T23" s="56"/>
      <c r="V23" s="519">
        <v>14</v>
      </c>
      <c r="W23" s="457" t="s">
        <v>121</v>
      </c>
      <c r="X23" s="520">
        <v>5509</v>
      </c>
      <c r="Y23" s="520">
        <v>49765574.122000001</v>
      </c>
      <c r="Z23" s="520">
        <v>17842445.936999999</v>
      </c>
      <c r="AA23" s="520">
        <v>1179.3330000000001</v>
      </c>
      <c r="AB23" s="520">
        <v>436.46600000000001</v>
      </c>
      <c r="AC23" s="520">
        <v>2794952.09</v>
      </c>
      <c r="AD23" s="520">
        <v>0.13200000000000001</v>
      </c>
      <c r="AE23" s="520">
        <v>4.9000000000000002E-2</v>
      </c>
      <c r="AF23" s="520">
        <v>313.29199999999997</v>
      </c>
      <c r="AG23" s="520">
        <v>4.7E-2</v>
      </c>
      <c r="AH23" s="520">
        <v>4.5999999999999999E-2</v>
      </c>
      <c r="AI23" s="520">
        <v>1.7999999999999999E-2</v>
      </c>
      <c r="AJ23" s="520">
        <v>112.325</v>
      </c>
      <c r="AK23" s="520">
        <v>0.22600000000000001</v>
      </c>
      <c r="AL23" s="520">
        <v>5.0000000000000001E-3</v>
      </c>
      <c r="AM23" s="520">
        <v>981.77499999999998</v>
      </c>
      <c r="AN23" s="520">
        <v>2.7E-2</v>
      </c>
      <c r="AO23" s="520">
        <v>1E-3</v>
      </c>
      <c r="AP23" s="520">
        <v>118.82899999999999</v>
      </c>
      <c r="AQ23" s="520">
        <v>0</v>
      </c>
      <c r="AR23" s="520">
        <v>123.38500000000001</v>
      </c>
      <c r="AS23" s="520">
        <v>5686224.4289999995</v>
      </c>
      <c r="AT23" s="520">
        <v>0</v>
      </c>
      <c r="AU23" s="520">
        <v>0</v>
      </c>
      <c r="AV23" s="520">
        <v>0</v>
      </c>
      <c r="AW23" s="520">
        <v>0.31900000000000001</v>
      </c>
      <c r="AX23" s="520">
        <v>0</v>
      </c>
      <c r="AY23" s="520">
        <v>0.34399999999999997</v>
      </c>
      <c r="AZ23" s="517">
        <f t="shared" si="5"/>
        <v>2789.1677126397117</v>
      </c>
      <c r="BA23" s="518">
        <f t="shared" si="6"/>
        <v>8751.7640056197961</v>
      </c>
      <c r="BC23" t="s">
        <v>920</v>
      </c>
      <c r="BJ23" s="141" t="s">
        <v>921</v>
      </c>
      <c r="BS23" s="40" t="s">
        <v>918</v>
      </c>
      <c r="BY23" s="117" t="str">
        <f t="shared" si="7"/>
        <v>ID</v>
      </c>
      <c r="BZ23" s="118">
        <f t="shared" si="1"/>
        <v>313.29199999999997</v>
      </c>
      <c r="CA23" s="118">
        <f t="shared" si="2"/>
        <v>4.9000000000000002E-2</v>
      </c>
      <c r="CB23" s="118">
        <f t="shared" si="3"/>
        <v>0.13200000000000001</v>
      </c>
      <c r="CC23" s="119">
        <f t="shared" si="4"/>
        <v>2789.1677126397117</v>
      </c>
      <c r="CD23" s="99"/>
      <c r="CR23" s="100" t="s">
        <v>122</v>
      </c>
      <c r="CS23" s="104" t="s">
        <v>123</v>
      </c>
      <c r="CW23" s="104" t="s">
        <v>120</v>
      </c>
      <c r="CX23" s="104" t="s">
        <v>120</v>
      </c>
      <c r="CY23" s="104" t="s">
        <v>382</v>
      </c>
      <c r="CZ23" s="104" t="s">
        <v>382</v>
      </c>
    </row>
    <row r="24" spans="2:107" ht="15" customHeight="1" x14ac:dyDescent="0.25">
      <c r="B24" s="53"/>
      <c r="C24" s="126" t="s">
        <v>922</v>
      </c>
      <c r="D24" s="126"/>
      <c r="E24" s="433" t="str" cm="1">
        <f t="array" ref="E24">_xlfn.IFS(state=1,"US Average",state&lt;53,_xlfn.XLOOKUP('Heating Load'!C2,Lists!D119:D346,Lists!J119:J346),state=53,"Canada Average",state&gt;53,_xlfn.XLOOKUP(state,Lists!A74:A83,Lists!B74:B83))</f>
        <v>US Average</v>
      </c>
      <c r="F24" s="54"/>
      <c r="G24" s="54"/>
      <c r="H24" s="54"/>
      <c r="I24" s="54"/>
      <c r="J24" s="54"/>
      <c r="K24" s="54"/>
      <c r="L24" s="54"/>
      <c r="M24" s="54"/>
      <c r="N24" s="54"/>
      <c r="O24" s="54"/>
      <c r="P24" s="54"/>
      <c r="Q24" s="54"/>
      <c r="R24" s="54"/>
      <c r="S24" s="54"/>
      <c r="T24" s="56"/>
      <c r="V24" s="519">
        <v>15</v>
      </c>
      <c r="W24" s="457" t="s">
        <v>123</v>
      </c>
      <c r="X24" s="520">
        <v>51850.5</v>
      </c>
      <c r="Y24" s="520">
        <v>505773729.73699999</v>
      </c>
      <c r="Z24" s="520">
        <v>177690286.567</v>
      </c>
      <c r="AA24" s="520">
        <v>14983.831</v>
      </c>
      <c r="AB24" s="520">
        <v>23974.718000000001</v>
      </c>
      <c r="AC24" s="520">
        <v>41908695.063000001</v>
      </c>
      <c r="AD24" s="520">
        <v>0.16900000000000001</v>
      </c>
      <c r="AE24" s="520">
        <v>0.27</v>
      </c>
      <c r="AF24" s="520">
        <v>471.70499999999998</v>
      </c>
      <c r="AG24" s="520">
        <v>5.8999999999999997E-2</v>
      </c>
      <c r="AH24" s="520">
        <v>5.3999999999999999E-2</v>
      </c>
      <c r="AI24" s="520">
        <v>9.5000000000000001E-2</v>
      </c>
      <c r="AJ24" s="520">
        <v>165.721</v>
      </c>
      <c r="AK24" s="520">
        <v>0.53200000000000003</v>
      </c>
      <c r="AL24" s="520">
        <v>0.85499999999999998</v>
      </c>
      <c r="AM24" s="520">
        <v>1498.7180000000001</v>
      </c>
      <c r="AN24" s="520">
        <v>5.8999999999999997E-2</v>
      </c>
      <c r="AO24" s="520">
        <v>9.5000000000000001E-2</v>
      </c>
      <c r="AP24" s="520">
        <v>167.00299999999999</v>
      </c>
      <c r="AQ24" s="520">
        <v>27149579.037</v>
      </c>
      <c r="AR24" s="520">
        <v>26287.541000000001</v>
      </c>
      <c r="AS24" s="520">
        <v>28416900.384</v>
      </c>
      <c r="AT24" s="520">
        <v>248087.87599999999</v>
      </c>
      <c r="AU24" s="520">
        <v>0.153</v>
      </c>
      <c r="AV24" s="520">
        <v>0</v>
      </c>
      <c r="AW24" s="520">
        <v>0.16</v>
      </c>
      <c r="AX24" s="520">
        <v>1E-3</v>
      </c>
      <c r="AY24" s="520">
        <v>0.316</v>
      </c>
      <c r="AZ24" s="517">
        <f t="shared" si="5"/>
        <v>2846.3780407394001</v>
      </c>
      <c r="BA24" s="518">
        <f t="shared" si="6"/>
        <v>9057.4138093748934</v>
      </c>
      <c r="BC24" s="40" t="s">
        <v>923</v>
      </c>
      <c r="BS24" s="51" t="s">
        <v>924</v>
      </c>
      <c r="BY24" s="117" t="str">
        <f t="shared" si="7"/>
        <v>IL</v>
      </c>
      <c r="BZ24" s="118">
        <f t="shared" si="1"/>
        <v>471.70499999999998</v>
      </c>
      <c r="CA24" s="118">
        <f t="shared" si="2"/>
        <v>0.27</v>
      </c>
      <c r="CB24" s="118">
        <f t="shared" si="3"/>
        <v>0.16900000000000001</v>
      </c>
      <c r="CC24" s="119">
        <f t="shared" si="4"/>
        <v>2846.3780407394001</v>
      </c>
      <c r="CD24" s="99"/>
      <c r="CR24" s="100" t="s">
        <v>125</v>
      </c>
      <c r="CS24" s="104" t="s">
        <v>126</v>
      </c>
      <c r="CW24" s="104" t="s">
        <v>122</v>
      </c>
      <c r="CX24" s="104" t="s">
        <v>122</v>
      </c>
      <c r="CY24" s="104" t="s">
        <v>386</v>
      </c>
      <c r="CZ24" s="104" t="s">
        <v>386</v>
      </c>
    </row>
    <row r="25" spans="2:107" ht="15" customHeight="1" x14ac:dyDescent="0.25">
      <c r="B25" s="53"/>
      <c r="C25" s="142"/>
      <c r="D25" s="142"/>
      <c r="E25" s="333"/>
      <c r="F25" s="143" t="e">
        <f>IF(#REF!="Ontario","Y",IF(#REF!="Alberta","Y",IF(#REF!="New Brunswick","Y",IF(#REF!="Nova Scotia","Y","N"))))</f>
        <v>#REF!</v>
      </c>
      <c r="G25" s="143"/>
      <c r="H25" s="143"/>
      <c r="I25" s="54"/>
      <c r="J25" s="54"/>
      <c r="K25" s="54"/>
      <c r="L25" s="54"/>
      <c r="M25" s="54"/>
      <c r="N25" s="54"/>
      <c r="O25" s="54"/>
      <c r="P25" s="54"/>
      <c r="Q25" s="54"/>
      <c r="R25" s="54"/>
      <c r="S25" s="54"/>
      <c r="T25" s="56"/>
      <c r="V25" s="519">
        <v>16</v>
      </c>
      <c r="W25" s="457" t="s">
        <v>126</v>
      </c>
      <c r="X25" s="520">
        <v>30220.7</v>
      </c>
      <c r="Y25" s="520">
        <v>718341510.49600005</v>
      </c>
      <c r="Z25" s="520">
        <v>90031870.695999995</v>
      </c>
      <c r="AA25" s="520">
        <v>37124.163999999997</v>
      </c>
      <c r="AB25" s="520">
        <v>24608.620999999999</v>
      </c>
      <c r="AC25" s="520">
        <v>65596778.472999997</v>
      </c>
      <c r="AD25" s="520">
        <v>0.82499999999999996</v>
      </c>
      <c r="AE25" s="520">
        <v>0.54700000000000004</v>
      </c>
      <c r="AF25" s="520">
        <v>1457.19</v>
      </c>
      <c r="AG25" s="520">
        <v>0.10299999999999999</v>
      </c>
      <c r="AH25" s="520">
        <v>7.3999999999999996E-2</v>
      </c>
      <c r="AI25" s="520">
        <v>6.9000000000000006E-2</v>
      </c>
      <c r="AJ25" s="520">
        <v>182.63399999999999</v>
      </c>
      <c r="AK25" s="520">
        <v>0.95</v>
      </c>
      <c r="AL25" s="520">
        <v>0.65500000000000003</v>
      </c>
      <c r="AM25" s="520">
        <v>1682.347</v>
      </c>
      <c r="AN25" s="520">
        <v>0.10199999999999999</v>
      </c>
      <c r="AO25" s="520">
        <v>7.0000000000000007E-2</v>
      </c>
      <c r="AP25" s="520">
        <v>180.98500000000001</v>
      </c>
      <c r="AQ25" s="520">
        <v>40931630.140000001</v>
      </c>
      <c r="AR25" s="520">
        <v>96718.152000000002</v>
      </c>
      <c r="AS25" s="520">
        <v>34849282.178999998</v>
      </c>
      <c r="AT25" s="520">
        <v>2271502.2000000002</v>
      </c>
      <c r="AU25" s="520">
        <v>0.45500000000000002</v>
      </c>
      <c r="AV25" s="520">
        <v>1E-3</v>
      </c>
      <c r="AW25" s="520">
        <v>0.38700000000000001</v>
      </c>
      <c r="AX25" s="520">
        <v>2.5000000000000001E-2</v>
      </c>
      <c r="AY25" s="520">
        <v>0.871</v>
      </c>
      <c r="AZ25" s="517">
        <f t="shared" si="5"/>
        <v>7978.7469142070722</v>
      </c>
      <c r="BA25" s="518">
        <f t="shared" si="6"/>
        <v>9191.9319632137904</v>
      </c>
      <c r="BY25" s="117" t="str">
        <f t="shared" si="7"/>
        <v>IN</v>
      </c>
      <c r="BZ25" s="118">
        <f t="shared" si="1"/>
        <v>1457.19</v>
      </c>
      <c r="CA25" s="118">
        <f t="shared" si="2"/>
        <v>0.54700000000000004</v>
      </c>
      <c r="CB25" s="118">
        <f t="shared" si="3"/>
        <v>0.82499999999999996</v>
      </c>
      <c r="CC25" s="119">
        <f t="shared" si="4"/>
        <v>7978.7469142070722</v>
      </c>
      <c r="CD25" s="99"/>
      <c r="CR25" s="100" t="s">
        <v>127</v>
      </c>
      <c r="CS25" s="104" t="s">
        <v>128</v>
      </c>
      <c r="CW25" s="104" t="s">
        <v>125</v>
      </c>
      <c r="CX25" s="104" t="s">
        <v>125</v>
      </c>
      <c r="CY25" s="104" t="s">
        <v>314</v>
      </c>
      <c r="CZ25" s="104" t="s">
        <v>314</v>
      </c>
    </row>
    <row r="26" spans="2:107" ht="15" customHeight="1" x14ac:dyDescent="0.25">
      <c r="B26" s="53"/>
      <c r="C26" s="142"/>
      <c r="D26" s="142"/>
      <c r="E26" s="142" t="e">
        <f>IF(F25="Y","Note that Ontario, NewBrunswick, Nova Scotia and Alberta use calculated marginal mix emissions for CO2."," ")</f>
        <v>#REF!</v>
      </c>
      <c r="F26" s="54"/>
      <c r="G26" s="54"/>
      <c r="H26" s="54"/>
      <c r="I26" s="54"/>
      <c r="J26" s="54"/>
      <c r="K26" s="54"/>
      <c r="L26" s="54"/>
      <c r="M26" s="54"/>
      <c r="N26" s="54"/>
      <c r="O26" s="54"/>
      <c r="P26" s="54"/>
      <c r="Q26" s="54"/>
      <c r="R26" s="54"/>
      <c r="S26" s="54"/>
      <c r="T26" s="56"/>
      <c r="V26" s="519">
        <v>17</v>
      </c>
      <c r="W26" s="457" t="s">
        <v>128</v>
      </c>
      <c r="X26" s="520">
        <v>20569.599999999999</v>
      </c>
      <c r="Y26" s="520">
        <v>224582486.59200001</v>
      </c>
      <c r="Z26" s="520">
        <v>58456598.044</v>
      </c>
      <c r="AA26" s="520">
        <v>14484.647000000001</v>
      </c>
      <c r="AB26" s="520">
        <v>3295.7339999999999</v>
      </c>
      <c r="AC26" s="520">
        <v>21282869.074000001</v>
      </c>
      <c r="AD26" s="520">
        <v>0.496</v>
      </c>
      <c r="AE26" s="520">
        <v>0.113</v>
      </c>
      <c r="AF26" s="520">
        <v>728.16</v>
      </c>
      <c r="AG26" s="520">
        <v>0.129</v>
      </c>
      <c r="AH26" s="520">
        <v>0.128</v>
      </c>
      <c r="AI26" s="520">
        <v>2.9000000000000001E-2</v>
      </c>
      <c r="AJ26" s="520">
        <v>189.53299999999999</v>
      </c>
      <c r="AK26" s="520">
        <v>1.3979999999999999</v>
      </c>
      <c r="AL26" s="520">
        <v>0.317</v>
      </c>
      <c r="AM26" s="520">
        <v>2054.4630000000002</v>
      </c>
      <c r="AN26" s="520">
        <v>0.129</v>
      </c>
      <c r="AO26" s="520">
        <v>2.9000000000000001E-2</v>
      </c>
      <c r="AP26" s="520">
        <v>190.17699999999999</v>
      </c>
      <c r="AQ26" s="520">
        <v>16290683.67</v>
      </c>
      <c r="AR26" s="520">
        <v>59081.285000000003</v>
      </c>
      <c r="AS26" s="520">
        <v>4368902.1239999998</v>
      </c>
      <c r="AT26" s="520">
        <v>0</v>
      </c>
      <c r="AU26" s="520">
        <v>0.27900000000000003</v>
      </c>
      <c r="AV26" s="520">
        <v>1E-3</v>
      </c>
      <c r="AW26" s="520">
        <v>7.4999999999999997E-2</v>
      </c>
      <c r="AX26" s="520">
        <v>0</v>
      </c>
      <c r="AY26" s="520">
        <v>0.35599999999999998</v>
      </c>
      <c r="AZ26" s="517">
        <f t="shared" si="5"/>
        <v>3841.867199027864</v>
      </c>
      <c r="BA26" s="518">
        <f t="shared" si="6"/>
        <v>10839.620412629345</v>
      </c>
      <c r="BY26" s="117" t="str">
        <f t="shared" si="7"/>
        <v>KS</v>
      </c>
      <c r="BZ26" s="118">
        <f t="shared" si="1"/>
        <v>728.16</v>
      </c>
      <c r="CA26" s="118">
        <f t="shared" si="2"/>
        <v>0.113</v>
      </c>
      <c r="CB26" s="118">
        <f t="shared" si="3"/>
        <v>0.496</v>
      </c>
      <c r="CC26" s="119">
        <f t="shared" si="4"/>
        <v>3841.867199027864</v>
      </c>
      <c r="CD26" s="99"/>
      <c r="CR26" s="100" t="s">
        <v>129</v>
      </c>
      <c r="CS26" s="104" t="s">
        <v>130</v>
      </c>
      <c r="CW26" s="104" t="s">
        <v>127</v>
      </c>
      <c r="CX26" s="104" t="s">
        <v>127</v>
      </c>
      <c r="CY26" s="104" t="s">
        <v>306</v>
      </c>
      <c r="CZ26" s="104" t="s">
        <v>306</v>
      </c>
    </row>
    <row r="27" spans="2:107" ht="15" customHeight="1" x14ac:dyDescent="0.3">
      <c r="B27" s="53"/>
      <c r="C27" s="81" t="s">
        <v>925</v>
      </c>
      <c r="D27" s="81"/>
      <c r="E27" s="82"/>
      <c r="F27" s="54"/>
      <c r="G27" s="144" t="s">
        <v>926</v>
      </c>
      <c r="H27" s="144"/>
      <c r="I27" s="570" t="str">
        <f>I10</f>
        <v>Comparison Cases</v>
      </c>
      <c r="J27" s="570"/>
      <c r="K27" s="570"/>
      <c r="L27" s="570"/>
      <c r="M27" s="570"/>
      <c r="N27" s="570"/>
      <c r="O27" s="570"/>
      <c r="P27" s="570"/>
      <c r="Q27" s="570"/>
      <c r="R27" s="570"/>
      <c r="S27" s="570"/>
      <c r="T27" s="56"/>
      <c r="V27" s="519">
        <v>18</v>
      </c>
      <c r="W27" s="457" t="s">
        <v>130</v>
      </c>
      <c r="X27" s="520">
        <v>21645.3</v>
      </c>
      <c r="Y27" s="520">
        <v>577480223.31599998</v>
      </c>
      <c r="Z27" s="520">
        <v>62417958.511</v>
      </c>
      <c r="AA27" s="520">
        <v>29920.167000000001</v>
      </c>
      <c r="AB27" s="520">
        <v>34820.714999999997</v>
      </c>
      <c r="AC27" s="520">
        <v>54147851.833999999</v>
      </c>
      <c r="AD27" s="520">
        <v>0.95899999999999996</v>
      </c>
      <c r="AE27" s="520">
        <v>1.1160000000000001</v>
      </c>
      <c r="AF27" s="520">
        <v>1735.009</v>
      </c>
      <c r="AG27" s="520">
        <v>0.104</v>
      </c>
      <c r="AH27" s="520">
        <v>0.09</v>
      </c>
      <c r="AI27" s="520">
        <v>0.121</v>
      </c>
      <c r="AJ27" s="520">
        <v>187.53100000000001</v>
      </c>
      <c r="AK27" s="520">
        <v>1.028</v>
      </c>
      <c r="AL27" s="520">
        <v>1.1890000000000001</v>
      </c>
      <c r="AM27" s="520">
        <v>1870.3589999999999</v>
      </c>
      <c r="AN27" s="520">
        <v>0.104</v>
      </c>
      <c r="AO27" s="520">
        <v>0.12</v>
      </c>
      <c r="AP27" s="520">
        <v>188.518</v>
      </c>
      <c r="AQ27" s="520">
        <v>42805601.332000002</v>
      </c>
      <c r="AR27" s="520">
        <v>61135.461000000003</v>
      </c>
      <c r="AS27" s="520">
        <v>14932901.161</v>
      </c>
      <c r="AT27" s="520">
        <v>91123.23</v>
      </c>
      <c r="AU27" s="520">
        <v>0.68600000000000005</v>
      </c>
      <c r="AV27" s="520">
        <v>1E-3</v>
      </c>
      <c r="AW27" s="520">
        <v>0.23899999999999999</v>
      </c>
      <c r="AX27" s="520">
        <v>1E-3</v>
      </c>
      <c r="AY27" s="520">
        <v>0.93400000000000005</v>
      </c>
      <c r="AZ27" s="517">
        <f t="shared" si="5"/>
        <v>9251.8281131259664</v>
      </c>
      <c r="BA27" s="518">
        <f t="shared" si="6"/>
        <v>9975.3434141336784</v>
      </c>
      <c r="BY27" s="117" t="str">
        <f t="shared" si="7"/>
        <v>KY</v>
      </c>
      <c r="BZ27" s="118">
        <f t="shared" si="1"/>
        <v>1735.009</v>
      </c>
      <c r="CA27" s="118">
        <f t="shared" si="2"/>
        <v>1.1160000000000001</v>
      </c>
      <c r="CB27" s="118">
        <f t="shared" si="3"/>
        <v>0.95899999999999996</v>
      </c>
      <c r="CC27" s="119">
        <f t="shared" si="4"/>
        <v>9251.8281131259664</v>
      </c>
      <c r="CD27" s="99"/>
      <c r="CR27" s="100" t="s">
        <v>131</v>
      </c>
      <c r="CS27" s="104" t="s">
        <v>132</v>
      </c>
      <c r="CW27" s="104" t="s">
        <v>129</v>
      </c>
      <c r="CX27" s="104" t="s">
        <v>129</v>
      </c>
      <c r="CY27" s="104" t="s">
        <v>309</v>
      </c>
      <c r="CZ27" s="104" t="s">
        <v>309</v>
      </c>
    </row>
    <row r="28" spans="2:107" ht="15" customHeight="1" x14ac:dyDescent="0.25">
      <c r="B28" s="53"/>
      <c r="C28" s="120"/>
      <c r="D28" s="120"/>
      <c r="E28" s="121" t="s">
        <v>861</v>
      </c>
      <c r="F28" s="54"/>
      <c r="G28" s="121" t="s">
        <v>927</v>
      </c>
      <c r="H28" s="121"/>
      <c r="I28" s="121" t="str">
        <f>I11</f>
        <v>Gas Alternative</v>
      </c>
      <c r="J28" s="121"/>
      <c r="K28" s="121">
        <f>K11</f>
        <v>0</v>
      </c>
      <c r="L28" s="121"/>
      <c r="M28" s="121">
        <f>M11</f>
        <v>0</v>
      </c>
      <c r="N28" s="121"/>
      <c r="O28" s="121">
        <f>O11</f>
        <v>0</v>
      </c>
      <c r="P28" s="121"/>
      <c r="Q28" s="121" t="str">
        <f>Q11</f>
        <v>#5</v>
      </c>
      <c r="R28" s="121"/>
      <c r="S28" s="121" t="str">
        <f>S11</f>
        <v>#6</v>
      </c>
      <c r="T28" s="56"/>
      <c r="V28" s="519">
        <v>19</v>
      </c>
      <c r="W28" s="457" t="s">
        <v>132</v>
      </c>
      <c r="X28" s="520">
        <v>28657.7</v>
      </c>
      <c r="Y28" s="520">
        <v>602670647.20700002</v>
      </c>
      <c r="Z28" s="520">
        <v>97434806.409999996</v>
      </c>
      <c r="AA28" s="520">
        <v>32219.460999999999</v>
      </c>
      <c r="AB28" s="520">
        <v>9345.9470000000001</v>
      </c>
      <c r="AC28" s="520">
        <v>37093620.722000003</v>
      </c>
      <c r="AD28" s="520">
        <v>0.66100000000000003</v>
      </c>
      <c r="AE28" s="520">
        <v>0.192</v>
      </c>
      <c r="AF28" s="520">
        <v>761.404</v>
      </c>
      <c r="AG28" s="520">
        <v>0.107</v>
      </c>
      <c r="AH28" s="520">
        <v>0.106</v>
      </c>
      <c r="AI28" s="520">
        <v>3.1E-2</v>
      </c>
      <c r="AJ28" s="520">
        <v>123.09699999999999</v>
      </c>
      <c r="AK28" s="520">
        <v>0.78500000000000003</v>
      </c>
      <c r="AL28" s="520">
        <v>0.19</v>
      </c>
      <c r="AM28" s="520">
        <v>916.52200000000005</v>
      </c>
      <c r="AN28" s="520">
        <v>0.107</v>
      </c>
      <c r="AO28" s="520">
        <v>2.5999999999999999E-2</v>
      </c>
      <c r="AP28" s="520">
        <v>125.377</v>
      </c>
      <c r="AQ28" s="520">
        <v>4833626.99</v>
      </c>
      <c r="AR28" s="520">
        <v>1032442.537</v>
      </c>
      <c r="AS28" s="520">
        <v>74064692.790999994</v>
      </c>
      <c r="AT28" s="520">
        <v>1822326.763</v>
      </c>
      <c r="AU28" s="520">
        <v>0.05</v>
      </c>
      <c r="AV28" s="520">
        <v>1.0999999999999999E-2</v>
      </c>
      <c r="AW28" s="520">
        <v>0.76</v>
      </c>
      <c r="AX28" s="520">
        <v>1.9E-2</v>
      </c>
      <c r="AY28" s="520">
        <v>0.85899999999999999</v>
      </c>
      <c r="AZ28" s="517">
        <f t="shared" si="5"/>
        <v>6185.3732707282961</v>
      </c>
      <c r="BA28" s="518">
        <f t="shared" si="6"/>
        <v>7371.8394495146367</v>
      </c>
      <c r="BY28" s="117" t="str">
        <f t="shared" si="7"/>
        <v>LA</v>
      </c>
      <c r="BZ28" s="118">
        <f t="shared" si="1"/>
        <v>761.404</v>
      </c>
      <c r="CA28" s="118">
        <f t="shared" si="2"/>
        <v>0.192</v>
      </c>
      <c r="CB28" s="118">
        <f t="shared" si="3"/>
        <v>0.66100000000000003</v>
      </c>
      <c r="CC28" s="119">
        <f t="shared" si="4"/>
        <v>6185.3732707282961</v>
      </c>
      <c r="CD28" s="99"/>
      <c r="CR28" s="100" t="s">
        <v>133</v>
      </c>
      <c r="CS28" s="104" t="s">
        <v>134</v>
      </c>
      <c r="CW28" s="104" t="s">
        <v>131</v>
      </c>
      <c r="CX28" s="104" t="s">
        <v>131</v>
      </c>
      <c r="CY28" s="104" t="s">
        <v>443</v>
      </c>
      <c r="CZ28" s="104" t="s">
        <v>443</v>
      </c>
    </row>
    <row r="29" spans="2:107" ht="15" customHeight="1" x14ac:dyDescent="0.25">
      <c r="B29" s="53"/>
      <c r="C29" s="145" t="s">
        <v>928</v>
      </c>
      <c r="D29" s="146"/>
      <c r="E29" s="147"/>
      <c r="F29" s="148"/>
      <c r="G29" s="149"/>
      <c r="H29" s="149"/>
      <c r="I29" s="149"/>
      <c r="J29" s="149"/>
      <c r="K29" s="149"/>
      <c r="L29" s="149"/>
      <c r="M29" s="149"/>
      <c r="N29" s="149"/>
      <c r="O29" s="149"/>
      <c r="P29" s="149"/>
      <c r="Q29" s="149"/>
      <c r="R29" s="149"/>
      <c r="S29" s="150"/>
      <c r="T29" s="56"/>
      <c r="V29" s="519">
        <v>20</v>
      </c>
      <c r="W29" s="457" t="s">
        <v>134</v>
      </c>
      <c r="X29" s="520">
        <v>14490</v>
      </c>
      <c r="Y29" s="520">
        <v>139819930.62</v>
      </c>
      <c r="Z29" s="520">
        <v>19663313.081</v>
      </c>
      <c r="AA29" s="520">
        <v>5834.6869999999999</v>
      </c>
      <c r="AB29" s="520">
        <v>2736.2809999999999</v>
      </c>
      <c r="AC29" s="520">
        <v>8085460.8550000004</v>
      </c>
      <c r="AD29" s="520">
        <v>0.59299999999999997</v>
      </c>
      <c r="AE29" s="520">
        <v>0.27800000000000002</v>
      </c>
      <c r="AF29" s="520">
        <v>822.39</v>
      </c>
      <c r="AG29" s="520">
        <v>8.3000000000000004E-2</v>
      </c>
      <c r="AH29" s="520">
        <v>7.9000000000000001E-2</v>
      </c>
      <c r="AI29" s="520">
        <v>3.9E-2</v>
      </c>
      <c r="AJ29" s="520">
        <v>115.655</v>
      </c>
      <c r="AK29" s="520">
        <v>0.22600000000000001</v>
      </c>
      <c r="AL29" s="520">
        <v>1.6E-2</v>
      </c>
      <c r="AM29" s="520">
        <v>861.47699999999998</v>
      </c>
      <c r="AN29" s="520">
        <v>3.1E-2</v>
      </c>
      <c r="AO29" s="520">
        <v>2E-3</v>
      </c>
      <c r="AP29" s="520">
        <v>119.15</v>
      </c>
      <c r="AQ29" s="520">
        <v>0</v>
      </c>
      <c r="AR29" s="520">
        <v>97476.179000000004</v>
      </c>
      <c r="AS29" s="520">
        <v>14774025.57</v>
      </c>
      <c r="AT29" s="520">
        <v>934699.58</v>
      </c>
      <c r="AU29" s="520">
        <v>0</v>
      </c>
      <c r="AV29" s="520">
        <v>5.0000000000000001E-3</v>
      </c>
      <c r="AW29" s="520">
        <v>0.751</v>
      </c>
      <c r="AX29" s="520">
        <v>4.8000000000000001E-2</v>
      </c>
      <c r="AY29" s="520">
        <v>0.85</v>
      </c>
      <c r="AZ29" s="517">
        <f t="shared" si="5"/>
        <v>7110.7005235604629</v>
      </c>
      <c r="BA29" s="518">
        <f t="shared" si="6"/>
        <v>8845.8907810739565</v>
      </c>
      <c r="BY29" s="117" t="str">
        <f t="shared" si="7"/>
        <v>MA</v>
      </c>
      <c r="BZ29" s="118">
        <f t="shared" si="1"/>
        <v>822.39</v>
      </c>
      <c r="CA29" s="118">
        <f t="shared" si="2"/>
        <v>0.27800000000000002</v>
      </c>
      <c r="CB29" s="118">
        <f t="shared" si="3"/>
        <v>0.59299999999999997</v>
      </c>
      <c r="CC29" s="119">
        <f t="shared" si="4"/>
        <v>7110.7005235604629</v>
      </c>
      <c r="CD29" s="99"/>
      <c r="CR29" s="100" t="s">
        <v>135</v>
      </c>
      <c r="CS29" s="104" t="s">
        <v>136</v>
      </c>
      <c r="CW29" s="104" t="s">
        <v>133</v>
      </c>
      <c r="CX29" s="104" t="s">
        <v>133</v>
      </c>
      <c r="CY29" s="104" t="s">
        <v>394</v>
      </c>
      <c r="CZ29" s="104" t="s">
        <v>394</v>
      </c>
    </row>
    <row r="30" spans="2:107" ht="15" customHeight="1" x14ac:dyDescent="0.25">
      <c r="B30" s="53"/>
      <c r="C30" s="151" t="s">
        <v>929</v>
      </c>
      <c r="D30" s="152"/>
      <c r="E30" s="153"/>
      <c r="F30" s="54"/>
      <c r="G30" s="154">
        <f>E114</f>
        <v>125.48416353198139</v>
      </c>
      <c r="H30" s="154"/>
      <c r="I30" s="154">
        <f>I114</f>
        <v>0</v>
      </c>
      <c r="J30" s="154"/>
      <c r="K30" s="154">
        <f>K114</f>
        <v>0</v>
      </c>
      <c r="L30" s="154"/>
      <c r="M30" s="154">
        <f>M114</f>
        <v>0</v>
      </c>
      <c r="N30" s="154"/>
      <c r="O30" s="154">
        <f>O114</f>
        <v>0</v>
      </c>
      <c r="P30" s="154"/>
      <c r="Q30" s="154">
        <f>Q114</f>
        <v>0</v>
      </c>
      <c r="R30" s="154"/>
      <c r="S30" s="155">
        <f>S114</f>
        <v>0</v>
      </c>
      <c r="T30" s="156"/>
      <c r="V30" s="519">
        <v>21</v>
      </c>
      <c r="W30" s="457" t="s">
        <v>136</v>
      </c>
      <c r="X30" s="520">
        <v>13152.7</v>
      </c>
      <c r="Y30" s="520">
        <v>146699411.24399999</v>
      </c>
      <c r="Z30" s="520">
        <v>35987133.296999998</v>
      </c>
      <c r="AA30" s="520">
        <v>3131.6860000000001</v>
      </c>
      <c r="AB30" s="520">
        <v>2081.576</v>
      </c>
      <c r="AC30" s="520">
        <v>9357054.4910000004</v>
      </c>
      <c r="AD30" s="520">
        <v>0.17399999999999999</v>
      </c>
      <c r="AE30" s="520">
        <v>0.11600000000000001</v>
      </c>
      <c r="AF30" s="520">
        <v>520.02200000000005</v>
      </c>
      <c r="AG30" s="520">
        <v>4.2999999999999997E-2</v>
      </c>
      <c r="AH30" s="520">
        <v>0.05</v>
      </c>
      <c r="AI30" s="520">
        <v>2.8000000000000001E-2</v>
      </c>
      <c r="AJ30" s="520">
        <v>127.568</v>
      </c>
      <c r="AK30" s="520">
        <v>0.28399999999999997</v>
      </c>
      <c r="AL30" s="520">
        <v>0.17199999999999999</v>
      </c>
      <c r="AM30" s="520">
        <v>1045.885</v>
      </c>
      <c r="AN30" s="520">
        <v>3.5000000000000003E-2</v>
      </c>
      <c r="AO30" s="520">
        <v>2.1000000000000001E-2</v>
      </c>
      <c r="AP30" s="520">
        <v>129.16900000000001</v>
      </c>
      <c r="AQ30" s="520">
        <v>1708970.4380000001</v>
      </c>
      <c r="AR30" s="520">
        <v>64235.739000000001</v>
      </c>
      <c r="AS30" s="520">
        <v>15329718.072000001</v>
      </c>
      <c r="AT30" s="520">
        <v>312893.71999999997</v>
      </c>
      <c r="AU30" s="520">
        <v>4.7E-2</v>
      </c>
      <c r="AV30" s="520">
        <v>2E-3</v>
      </c>
      <c r="AW30" s="520">
        <v>0.42599999999999999</v>
      </c>
      <c r="AX30" s="520">
        <v>8.9999999999999993E-3</v>
      </c>
      <c r="AY30" s="520">
        <v>0.49299999999999999</v>
      </c>
      <c r="AZ30" s="517">
        <f t="shared" si="5"/>
        <v>4076.4405998470938</v>
      </c>
      <c r="BA30" s="518">
        <f t="shared" si="6"/>
        <v>8423.3431645371838</v>
      </c>
      <c r="BY30" s="117" t="str">
        <f t="shared" si="7"/>
        <v>MD</v>
      </c>
      <c r="BZ30" s="118">
        <f t="shared" si="1"/>
        <v>520.02200000000005</v>
      </c>
      <c r="CA30" s="118">
        <f t="shared" si="2"/>
        <v>0.11600000000000001</v>
      </c>
      <c r="CB30" s="118">
        <f t="shared" si="3"/>
        <v>0.17399999999999999</v>
      </c>
      <c r="CC30" s="119">
        <f t="shared" si="4"/>
        <v>4076.4405998470938</v>
      </c>
      <c r="CD30" s="99"/>
      <c r="CR30" s="100" t="s">
        <v>137</v>
      </c>
      <c r="CS30" s="104" t="s">
        <v>138</v>
      </c>
      <c r="CW30" s="104" t="s">
        <v>135</v>
      </c>
      <c r="CX30" s="104" t="s">
        <v>135</v>
      </c>
      <c r="CY30" s="104" t="s">
        <v>406</v>
      </c>
      <c r="CZ30" s="104" t="s">
        <v>406</v>
      </c>
    </row>
    <row r="31" spans="2:107" ht="15" customHeight="1" x14ac:dyDescent="0.25">
      <c r="B31" s="53"/>
      <c r="C31" s="151" t="s">
        <v>597</v>
      </c>
      <c r="D31" s="152"/>
      <c r="E31" s="157"/>
      <c r="F31" s="54"/>
      <c r="G31" s="154">
        <f>E93</f>
        <v>0</v>
      </c>
      <c r="H31" s="154"/>
      <c r="I31" s="154">
        <f>I93</f>
        <v>95.422994440657746</v>
      </c>
      <c r="J31" s="154"/>
      <c r="K31" s="154">
        <f>K93</f>
        <v>0</v>
      </c>
      <c r="L31" s="154"/>
      <c r="M31" s="154">
        <f>M93</f>
        <v>0</v>
      </c>
      <c r="N31" s="154"/>
      <c r="O31" s="154">
        <f>O93</f>
        <v>0</v>
      </c>
      <c r="P31" s="154"/>
      <c r="Q31" s="154">
        <f>Q93</f>
        <v>0</v>
      </c>
      <c r="R31" s="154"/>
      <c r="S31" s="155">
        <f>S93</f>
        <v>0</v>
      </c>
      <c r="T31" s="156"/>
      <c r="V31" s="519">
        <v>22</v>
      </c>
      <c r="W31" s="457" t="s">
        <v>138</v>
      </c>
      <c r="X31" s="520">
        <v>5569</v>
      </c>
      <c r="Y31" s="520">
        <v>44334746.258000001</v>
      </c>
      <c r="Z31" s="520">
        <v>12512180.99</v>
      </c>
      <c r="AA31" s="520">
        <v>1957.95</v>
      </c>
      <c r="AB31" s="520">
        <v>1178.6089999999999</v>
      </c>
      <c r="AC31" s="520">
        <v>1950796.1270000001</v>
      </c>
      <c r="AD31" s="520">
        <v>0.313</v>
      </c>
      <c r="AE31" s="520">
        <v>0.188</v>
      </c>
      <c r="AF31" s="520">
        <v>311.82400000000001</v>
      </c>
      <c r="AG31" s="520">
        <v>8.7999999999999995E-2</v>
      </c>
      <c r="AH31" s="520">
        <v>7.2999999999999995E-2</v>
      </c>
      <c r="AI31" s="520">
        <v>5.2999999999999999E-2</v>
      </c>
      <c r="AJ31" s="520">
        <v>88.003</v>
      </c>
      <c r="AK31" s="520">
        <v>0.14599999999999999</v>
      </c>
      <c r="AL31" s="520">
        <v>7.6999999999999999E-2</v>
      </c>
      <c r="AM31" s="520">
        <v>847.14400000000001</v>
      </c>
      <c r="AN31" s="520">
        <v>2.1000000000000001E-2</v>
      </c>
      <c r="AO31" s="520">
        <v>1.0999999999999999E-2</v>
      </c>
      <c r="AP31" s="520">
        <v>119.874</v>
      </c>
      <c r="AQ31" s="520">
        <v>43205.055999999997</v>
      </c>
      <c r="AR31" s="520">
        <v>67115.763000000006</v>
      </c>
      <c r="AS31" s="520">
        <v>3975075.4169999999</v>
      </c>
      <c r="AT31" s="520">
        <v>179005.538</v>
      </c>
      <c r="AU31" s="520">
        <v>3.0000000000000001E-3</v>
      </c>
      <c r="AV31" s="520">
        <v>5.0000000000000001E-3</v>
      </c>
      <c r="AW31" s="520">
        <v>0.318</v>
      </c>
      <c r="AX31" s="520">
        <v>1.4E-2</v>
      </c>
      <c r="AY31" s="520">
        <v>0.45700000000000002</v>
      </c>
      <c r="AZ31" s="517">
        <f t="shared" si="5"/>
        <v>3543.3268023722858</v>
      </c>
      <c r="BA31" s="518">
        <f t="shared" si="6"/>
        <v>10396.474958881301</v>
      </c>
      <c r="BY31" s="117" t="str">
        <f t="shared" si="7"/>
        <v>ME</v>
      </c>
      <c r="BZ31" s="118">
        <f t="shared" si="1"/>
        <v>311.82400000000001</v>
      </c>
      <c r="CA31" s="118">
        <f t="shared" si="2"/>
        <v>0.188</v>
      </c>
      <c r="CB31" s="118">
        <f t="shared" si="3"/>
        <v>0.313</v>
      </c>
      <c r="CC31" s="119">
        <f t="shared" si="4"/>
        <v>3543.3268023722858</v>
      </c>
      <c r="CD31" s="99"/>
      <c r="CR31" s="100" t="s">
        <v>139</v>
      </c>
      <c r="CS31" s="104" t="s">
        <v>140</v>
      </c>
      <c r="CW31" s="104" t="s">
        <v>137</v>
      </c>
      <c r="CX31" s="104" t="s">
        <v>137</v>
      </c>
      <c r="CY31" s="104" t="s">
        <v>324</v>
      </c>
      <c r="CZ31" s="104" t="s">
        <v>324</v>
      </c>
    </row>
    <row r="32" spans="2:107" ht="15" customHeight="1" x14ac:dyDescent="0.25">
      <c r="B32" s="53"/>
      <c r="C32" s="158" t="s">
        <v>65</v>
      </c>
      <c r="D32" s="152"/>
      <c r="E32" s="157" t="s">
        <v>19</v>
      </c>
      <c r="F32" s="54"/>
      <c r="G32" s="154">
        <f>E122</f>
        <v>0</v>
      </c>
      <c r="H32" s="154"/>
      <c r="I32" s="154">
        <f>I122</f>
        <v>0</v>
      </c>
      <c r="J32" s="154"/>
      <c r="K32" s="154">
        <f>K122</f>
        <v>0</v>
      </c>
      <c r="L32" s="154"/>
      <c r="M32" s="154">
        <f>M122</f>
        <v>0</v>
      </c>
      <c r="N32" s="154"/>
      <c r="O32" s="154">
        <f>O122</f>
        <v>0</v>
      </c>
      <c r="P32" s="154"/>
      <c r="Q32" s="154">
        <f>Q122</f>
        <v>0</v>
      </c>
      <c r="R32" s="154"/>
      <c r="S32" s="155">
        <f>S122</f>
        <v>0</v>
      </c>
      <c r="T32" s="156"/>
      <c r="V32" s="519">
        <v>23</v>
      </c>
      <c r="W32" s="457" t="s">
        <v>140</v>
      </c>
      <c r="X32" s="520">
        <v>33247.1</v>
      </c>
      <c r="Y32" s="520">
        <v>692305003.51999998</v>
      </c>
      <c r="Z32" s="520">
        <v>120648501.215</v>
      </c>
      <c r="AA32" s="520">
        <v>34100.196000000004</v>
      </c>
      <c r="AB32" s="520">
        <v>26504.644</v>
      </c>
      <c r="AC32" s="520">
        <v>47847447.148000002</v>
      </c>
      <c r="AD32" s="520">
        <v>0.56499999999999995</v>
      </c>
      <c r="AE32" s="520">
        <v>0.439</v>
      </c>
      <c r="AF32" s="520">
        <v>793.17100000000005</v>
      </c>
      <c r="AG32" s="520">
        <v>9.9000000000000005E-2</v>
      </c>
      <c r="AH32" s="520">
        <v>9.2999999999999999E-2</v>
      </c>
      <c r="AI32" s="520">
        <v>7.6999999999999999E-2</v>
      </c>
      <c r="AJ32" s="520">
        <v>138.226</v>
      </c>
      <c r="AK32" s="520">
        <v>0.8</v>
      </c>
      <c r="AL32" s="520">
        <v>0.63600000000000001</v>
      </c>
      <c r="AM32" s="520">
        <v>1181.8140000000001</v>
      </c>
      <c r="AN32" s="520">
        <v>9.7000000000000003E-2</v>
      </c>
      <c r="AO32" s="520">
        <v>7.6999999999999999E-2</v>
      </c>
      <c r="AP32" s="520">
        <v>142.90299999999999</v>
      </c>
      <c r="AQ32" s="520">
        <v>23554514.598999999</v>
      </c>
      <c r="AR32" s="520">
        <v>1350492.007</v>
      </c>
      <c r="AS32" s="520">
        <v>54068082.071999997</v>
      </c>
      <c r="AT32" s="520">
        <v>1515185.71</v>
      </c>
      <c r="AU32" s="520">
        <v>0.19500000000000001</v>
      </c>
      <c r="AV32" s="520">
        <v>1.0999999999999999E-2</v>
      </c>
      <c r="AW32" s="520">
        <v>0.44800000000000001</v>
      </c>
      <c r="AX32" s="520">
        <v>1.2999999999999999E-2</v>
      </c>
      <c r="AY32" s="520">
        <v>0.68400000000000005</v>
      </c>
      <c r="AZ32" s="517">
        <f t="shared" si="5"/>
        <v>5738.1981255306882</v>
      </c>
      <c r="BA32" s="518">
        <f t="shared" si="6"/>
        <v>8601.3150211506563</v>
      </c>
      <c r="BY32" s="117" t="str">
        <f t="shared" si="7"/>
        <v>MI</v>
      </c>
      <c r="BZ32" s="118">
        <f t="shared" si="1"/>
        <v>793.17100000000005</v>
      </c>
      <c r="CA32" s="118">
        <f t="shared" si="2"/>
        <v>0.439</v>
      </c>
      <c r="CB32" s="118">
        <f t="shared" si="3"/>
        <v>0.56499999999999995</v>
      </c>
      <c r="CC32" s="119">
        <f t="shared" si="4"/>
        <v>5738.1981255306882</v>
      </c>
      <c r="CD32" s="99"/>
      <c r="CR32" s="100" t="s">
        <v>141</v>
      </c>
      <c r="CS32" s="104" t="s">
        <v>142</v>
      </c>
      <c r="CW32" s="104" t="s">
        <v>139</v>
      </c>
      <c r="CX32" s="104" t="s">
        <v>139</v>
      </c>
      <c r="CY32" s="104" t="s">
        <v>378</v>
      </c>
      <c r="CZ32" s="104" t="s">
        <v>378</v>
      </c>
    </row>
    <row r="33" spans="2:104" ht="15" customHeight="1" x14ac:dyDescent="0.25">
      <c r="B33" s="53"/>
      <c r="C33" s="158" t="s">
        <v>930</v>
      </c>
      <c r="D33" s="152"/>
      <c r="E33" s="153"/>
      <c r="F33" s="54"/>
      <c r="G33" s="154">
        <f>E126</f>
        <v>0</v>
      </c>
      <c r="H33" s="154"/>
      <c r="I33" s="154">
        <f>I126</f>
        <v>0</v>
      </c>
      <c r="J33" s="154"/>
      <c r="K33" s="154">
        <f>K126</f>
        <v>0</v>
      </c>
      <c r="L33" s="154"/>
      <c r="M33" s="154">
        <f>M126</f>
        <v>0</v>
      </c>
      <c r="N33" s="154"/>
      <c r="O33" s="154">
        <f>O126</f>
        <v>0</v>
      </c>
      <c r="P33" s="154"/>
      <c r="Q33" s="154">
        <f>Q126</f>
        <v>0</v>
      </c>
      <c r="R33" s="154"/>
      <c r="S33" s="155">
        <f>S126</f>
        <v>0</v>
      </c>
      <c r="T33" s="56"/>
      <c r="V33" s="519">
        <v>24</v>
      </c>
      <c r="W33" s="457" t="s">
        <v>142</v>
      </c>
      <c r="X33" s="520">
        <v>20346.099999999999</v>
      </c>
      <c r="Y33" s="520">
        <v>262470921.30500001</v>
      </c>
      <c r="Z33" s="520">
        <v>57260118.976999998</v>
      </c>
      <c r="AA33" s="520">
        <v>14205.842000000001</v>
      </c>
      <c r="AB33" s="520">
        <v>5342.3289999999997</v>
      </c>
      <c r="AC33" s="520">
        <v>21402253.182</v>
      </c>
      <c r="AD33" s="520">
        <v>0.496</v>
      </c>
      <c r="AE33" s="520">
        <v>0.187</v>
      </c>
      <c r="AF33" s="520">
        <v>747.54499999999996</v>
      </c>
      <c r="AG33" s="520">
        <v>0.108</v>
      </c>
      <c r="AH33" s="520">
        <v>0.106</v>
      </c>
      <c r="AI33" s="520">
        <v>4.1000000000000002E-2</v>
      </c>
      <c r="AJ33" s="520">
        <v>163.083</v>
      </c>
      <c r="AK33" s="520">
        <v>0.88100000000000001</v>
      </c>
      <c r="AL33" s="520">
        <v>0.28199999999999997</v>
      </c>
      <c r="AM33" s="520">
        <v>1570.972</v>
      </c>
      <c r="AN33" s="520">
        <v>9.4E-2</v>
      </c>
      <c r="AO33" s="520">
        <v>0.03</v>
      </c>
      <c r="AP33" s="520">
        <v>168.42400000000001</v>
      </c>
      <c r="AQ33" s="520">
        <v>12793785.489</v>
      </c>
      <c r="AR33" s="520">
        <v>54263.7</v>
      </c>
      <c r="AS33" s="520">
        <v>13823605.905999999</v>
      </c>
      <c r="AT33" s="520">
        <v>254926.78</v>
      </c>
      <c r="AU33" s="520">
        <v>0.223</v>
      </c>
      <c r="AV33" s="520">
        <v>1E-3</v>
      </c>
      <c r="AW33" s="520">
        <v>0.24099999999999999</v>
      </c>
      <c r="AX33" s="520">
        <v>4.0000000000000001E-3</v>
      </c>
      <c r="AY33" s="520">
        <v>0.49</v>
      </c>
      <c r="AZ33" s="517">
        <f t="shared" si="5"/>
        <v>4583.8347176754596</v>
      </c>
      <c r="BA33" s="518">
        <f t="shared" si="6"/>
        <v>9747.6509466911302</v>
      </c>
      <c r="BY33" s="117" t="str">
        <f t="shared" si="7"/>
        <v>MN</v>
      </c>
      <c r="BZ33" s="118">
        <f t="shared" si="1"/>
        <v>747.54499999999996</v>
      </c>
      <c r="CA33" s="118">
        <f t="shared" si="2"/>
        <v>0.187</v>
      </c>
      <c r="CB33" s="118">
        <f t="shared" si="3"/>
        <v>0.496</v>
      </c>
      <c r="CC33" s="119">
        <f t="shared" si="4"/>
        <v>4583.8347176754596</v>
      </c>
      <c r="CD33" s="99"/>
      <c r="CR33" s="100" t="s">
        <v>143</v>
      </c>
      <c r="CS33" s="104" t="s">
        <v>144</v>
      </c>
      <c r="CW33" s="104" t="s">
        <v>141</v>
      </c>
      <c r="CX33" s="104" t="s">
        <v>141</v>
      </c>
      <c r="CY33" s="104" t="s">
        <v>336</v>
      </c>
      <c r="CZ33" s="104" t="s">
        <v>336</v>
      </c>
    </row>
    <row r="34" spans="2:104" ht="15" customHeight="1" x14ac:dyDescent="0.25">
      <c r="B34" s="53"/>
      <c r="C34" s="159" t="s">
        <v>931</v>
      </c>
      <c r="D34" s="160"/>
      <c r="E34" s="161"/>
      <c r="F34" s="54"/>
      <c r="G34" s="162">
        <f>SUM(G30:G33)</f>
        <v>125.48416353198139</v>
      </c>
      <c r="H34" s="162"/>
      <c r="I34" s="162">
        <f>SUM(I30:I33)</f>
        <v>95.422994440657746</v>
      </c>
      <c r="J34" s="162"/>
      <c r="K34" s="162">
        <f>SUM(K30:K33)</f>
        <v>0</v>
      </c>
      <c r="L34" s="162"/>
      <c r="M34" s="162">
        <f>SUM(M30:M33)</f>
        <v>0</v>
      </c>
      <c r="N34" s="162"/>
      <c r="O34" s="162">
        <f>SUM(O30:O33)</f>
        <v>0</v>
      </c>
      <c r="P34" s="162"/>
      <c r="Q34" s="162">
        <f>SUM(Q30:Q33)</f>
        <v>0</v>
      </c>
      <c r="R34" s="162"/>
      <c r="S34" s="163">
        <f>SUM(S30:S33)</f>
        <v>0</v>
      </c>
      <c r="T34" s="56"/>
      <c r="V34" s="519">
        <v>25</v>
      </c>
      <c r="W34" s="457" t="s">
        <v>144</v>
      </c>
      <c r="X34" s="520">
        <v>23133.9</v>
      </c>
      <c r="Y34" s="520">
        <v>497548140.995</v>
      </c>
      <c r="Z34" s="520">
        <v>66705178.956</v>
      </c>
      <c r="AA34" s="520">
        <v>35312.682000000001</v>
      </c>
      <c r="AB34" s="520">
        <v>72692.688999999998</v>
      </c>
      <c r="AC34" s="520">
        <v>48165698.608000003</v>
      </c>
      <c r="AD34" s="520">
        <v>1.0589999999999999</v>
      </c>
      <c r="AE34" s="520">
        <v>2.1800000000000002</v>
      </c>
      <c r="AF34" s="520">
        <v>1444.1369999999999</v>
      </c>
      <c r="AG34" s="520">
        <v>0.14199999999999999</v>
      </c>
      <c r="AH34" s="520">
        <v>9.1999999999999998E-2</v>
      </c>
      <c r="AI34" s="520">
        <v>0.29199999999999998</v>
      </c>
      <c r="AJ34" s="520">
        <v>193.61199999999999</v>
      </c>
      <c r="AK34" s="520">
        <v>1.4179999999999999</v>
      </c>
      <c r="AL34" s="520">
        <v>2.919</v>
      </c>
      <c r="AM34" s="520">
        <v>1934.34</v>
      </c>
      <c r="AN34" s="520">
        <v>0.14199999999999999</v>
      </c>
      <c r="AO34" s="520">
        <v>0.29199999999999998</v>
      </c>
      <c r="AP34" s="520">
        <v>193.81800000000001</v>
      </c>
      <c r="AQ34" s="520">
        <v>40348167.980999999</v>
      </c>
      <c r="AR34" s="520">
        <v>131722.49799999999</v>
      </c>
      <c r="AS34" s="520">
        <v>9260975.3509999998</v>
      </c>
      <c r="AT34" s="520">
        <v>0</v>
      </c>
      <c r="AU34" s="520">
        <v>0.60499999999999998</v>
      </c>
      <c r="AV34" s="520">
        <v>2E-3</v>
      </c>
      <c r="AW34" s="520">
        <v>0.13900000000000001</v>
      </c>
      <c r="AX34" s="520">
        <v>0</v>
      </c>
      <c r="AY34" s="520">
        <v>0.747</v>
      </c>
      <c r="AZ34" s="517">
        <f t="shared" si="5"/>
        <v>7458.9132175657933</v>
      </c>
      <c r="BA34" s="518">
        <f t="shared" si="6"/>
        <v>10002.804187114007</v>
      </c>
      <c r="BY34" s="117" t="str">
        <f t="shared" si="7"/>
        <v>MO</v>
      </c>
      <c r="BZ34" s="118">
        <f t="shared" si="1"/>
        <v>1444.1369999999999</v>
      </c>
      <c r="CA34" s="118">
        <f t="shared" si="2"/>
        <v>2.1800000000000002</v>
      </c>
      <c r="CB34" s="118">
        <f t="shared" si="3"/>
        <v>1.0589999999999999</v>
      </c>
      <c r="CC34" s="119">
        <f t="shared" si="4"/>
        <v>7458.9132175657933</v>
      </c>
      <c r="CD34" s="99"/>
      <c r="CR34" s="100" t="s">
        <v>145</v>
      </c>
      <c r="CS34" s="104" t="s">
        <v>146</v>
      </c>
      <c r="CW34" s="104" t="s">
        <v>143</v>
      </c>
      <c r="CX34" s="104" t="s">
        <v>143</v>
      </c>
      <c r="CY34" s="105" t="s">
        <v>318</v>
      </c>
      <c r="CZ34" s="105" t="s">
        <v>318</v>
      </c>
    </row>
    <row r="35" spans="2:104" ht="15" customHeight="1" x14ac:dyDescent="0.35">
      <c r="B35" s="53"/>
      <c r="C35" s="164" t="s">
        <v>932</v>
      </c>
      <c r="D35" s="165"/>
      <c r="E35" s="571" t="s">
        <v>933</v>
      </c>
      <c r="F35" s="148"/>
      <c r="G35" s="166"/>
      <c r="H35" s="166"/>
      <c r="I35" s="148"/>
      <c r="J35" s="148"/>
      <c r="K35" s="148"/>
      <c r="L35" s="148"/>
      <c r="M35" s="148"/>
      <c r="N35" s="148"/>
      <c r="O35" s="148"/>
      <c r="P35" s="148"/>
      <c r="Q35" s="148"/>
      <c r="R35" s="148"/>
      <c r="S35" s="167"/>
      <c r="T35" s="56"/>
      <c r="V35" s="519">
        <v>26</v>
      </c>
      <c r="W35" s="457" t="s">
        <v>146</v>
      </c>
      <c r="X35" s="521">
        <v>17031.599999999999</v>
      </c>
      <c r="Y35" s="521">
        <v>474122406.18099999</v>
      </c>
      <c r="Z35" s="521">
        <v>72933440.201000005</v>
      </c>
      <c r="AA35" s="521">
        <v>13338.087</v>
      </c>
      <c r="AB35" s="521">
        <v>4498.0029999999997</v>
      </c>
      <c r="AC35" s="521">
        <v>30133709.322000001</v>
      </c>
      <c r="AD35" s="521">
        <v>0.36599999999999999</v>
      </c>
      <c r="AE35" s="521">
        <v>0.123</v>
      </c>
      <c r="AF35" s="521">
        <v>826.33500000000004</v>
      </c>
      <c r="AG35" s="521">
        <v>5.6000000000000001E-2</v>
      </c>
      <c r="AH35" s="521">
        <v>6.0999999999999999E-2</v>
      </c>
      <c r="AI35" s="521">
        <v>1.9E-2</v>
      </c>
      <c r="AJ35" s="521">
        <v>127.114</v>
      </c>
      <c r="AK35" s="521">
        <v>0.43099999999999999</v>
      </c>
      <c r="AL35" s="521">
        <v>9.5000000000000001E-2</v>
      </c>
      <c r="AM35" s="521">
        <v>1020.0549999999999</v>
      </c>
      <c r="AN35" s="521">
        <v>5.5E-2</v>
      </c>
      <c r="AO35" s="521">
        <v>1.2E-2</v>
      </c>
      <c r="AP35" s="521">
        <v>129.17099999999999</v>
      </c>
      <c r="AQ35" s="521">
        <v>4036974.42</v>
      </c>
      <c r="AR35" s="521">
        <v>7060.3810000000003</v>
      </c>
      <c r="AS35" s="521">
        <v>55167572.317000002</v>
      </c>
      <c r="AT35" s="521">
        <v>0</v>
      </c>
      <c r="AU35" s="521">
        <v>5.5E-2</v>
      </c>
      <c r="AV35" s="521">
        <v>0</v>
      </c>
      <c r="AW35" s="521">
        <v>0.75600000000000001</v>
      </c>
      <c r="AX35" s="521">
        <v>0</v>
      </c>
      <c r="AY35" s="521">
        <v>0.83</v>
      </c>
      <c r="AZ35" s="517">
        <f t="shared" si="5"/>
        <v>6500.7547275207125</v>
      </c>
      <c r="BA35" s="518">
        <f t="shared" si="6"/>
        <v>8007.254476916055</v>
      </c>
      <c r="BY35" s="117" t="str">
        <f t="shared" ref="BY35:BY59" si="9">W36</f>
        <v>MT</v>
      </c>
      <c r="BZ35" s="118">
        <f t="shared" ref="BZ35:BZ59" si="10">AF36</f>
        <v>1056.1669999999999</v>
      </c>
      <c r="CA35" s="118">
        <f t="shared" ref="CA35:CA59" si="11">AE36</f>
        <v>0.80900000000000005</v>
      </c>
      <c r="CB35" s="118">
        <f t="shared" ref="CB35:CB59" si="12">AD36</f>
        <v>0.873</v>
      </c>
      <c r="CC35" s="119">
        <f t="shared" ref="CC35:CC59" si="13">AZ36</f>
        <v>5192.3894537011729</v>
      </c>
      <c r="CD35" s="99"/>
      <c r="CR35" s="100" t="s">
        <v>147</v>
      </c>
      <c r="CS35" s="104" t="s">
        <v>148</v>
      </c>
      <c r="CW35" s="104" t="s">
        <v>145</v>
      </c>
      <c r="CX35" s="104" t="s">
        <v>145</v>
      </c>
    </row>
    <row r="36" spans="2:104" ht="15" customHeight="1" x14ac:dyDescent="0.25">
      <c r="B36" s="53"/>
      <c r="C36" s="158" t="s">
        <v>934</v>
      </c>
      <c r="D36" s="152"/>
      <c r="E36" s="572"/>
      <c r="F36" s="54"/>
      <c r="G36" s="154">
        <f>E115</f>
        <v>18394.512756131779</v>
      </c>
      <c r="H36" s="154"/>
      <c r="I36" s="154">
        <f>I115</f>
        <v>0</v>
      </c>
      <c r="J36" s="154"/>
      <c r="K36" s="154">
        <f>K115</f>
        <v>0</v>
      </c>
      <c r="L36" s="154"/>
      <c r="M36" s="154">
        <f>M115</f>
        <v>0</v>
      </c>
      <c r="N36" s="154"/>
      <c r="O36" s="154">
        <f>O115</f>
        <v>0</v>
      </c>
      <c r="P36" s="154"/>
      <c r="Q36" s="154">
        <f>Q115</f>
        <v>0</v>
      </c>
      <c r="R36" s="154"/>
      <c r="S36" s="155">
        <f>S115</f>
        <v>0</v>
      </c>
      <c r="T36" s="56"/>
      <c r="V36" s="519">
        <v>27</v>
      </c>
      <c r="W36" s="457" t="s">
        <v>148</v>
      </c>
      <c r="X36" s="520">
        <v>6890.3</v>
      </c>
      <c r="Y36" s="520">
        <v>139653250.25600001</v>
      </c>
      <c r="Z36" s="520">
        <v>26895758.013</v>
      </c>
      <c r="AA36" s="520">
        <v>11734.543</v>
      </c>
      <c r="AB36" s="520">
        <v>10875.186</v>
      </c>
      <c r="AC36" s="520">
        <v>14203204.304</v>
      </c>
      <c r="AD36" s="520">
        <v>0.873</v>
      </c>
      <c r="AE36" s="520">
        <v>0.80900000000000005</v>
      </c>
      <c r="AF36" s="520">
        <v>1056.1669999999999</v>
      </c>
      <c r="AG36" s="520">
        <v>0.16800000000000001</v>
      </c>
      <c r="AH36" s="520">
        <v>0.161</v>
      </c>
      <c r="AI36" s="520">
        <v>0.156</v>
      </c>
      <c r="AJ36" s="520">
        <v>203.40700000000001</v>
      </c>
      <c r="AK36" s="520">
        <v>1.7949999999999999</v>
      </c>
      <c r="AL36" s="520">
        <v>1.6659999999999999</v>
      </c>
      <c r="AM36" s="520">
        <v>2175.8679999999999</v>
      </c>
      <c r="AN36" s="520">
        <v>0.16800000000000001</v>
      </c>
      <c r="AO36" s="520">
        <v>0.156</v>
      </c>
      <c r="AP36" s="520">
        <v>203.721</v>
      </c>
      <c r="AQ36" s="520">
        <v>11553038.6</v>
      </c>
      <c r="AR36" s="520">
        <v>490846.62599999999</v>
      </c>
      <c r="AS36" s="520">
        <v>1001699.915</v>
      </c>
      <c r="AT36" s="520">
        <v>9622.5339999999997</v>
      </c>
      <c r="AU36" s="520">
        <v>0.43</v>
      </c>
      <c r="AV36" s="520">
        <v>1.7999999999999999E-2</v>
      </c>
      <c r="AW36" s="520">
        <v>3.6999999999999998E-2</v>
      </c>
      <c r="AX36" s="520">
        <v>0</v>
      </c>
      <c r="AY36" s="520">
        <v>0.48599999999999999</v>
      </c>
      <c r="AZ36" s="517">
        <f t="shared" si="5"/>
        <v>5192.3894537011729</v>
      </c>
      <c r="BA36" s="518">
        <f t="shared" si="6"/>
        <v>10697.129737999363</v>
      </c>
      <c r="BY36" s="117" t="str">
        <f t="shared" si="9"/>
        <v>NC</v>
      </c>
      <c r="BZ36" s="118">
        <f t="shared" si="10"/>
        <v>623.95799999999997</v>
      </c>
      <c r="CA36" s="118">
        <f t="shared" si="11"/>
        <v>0.16600000000000001</v>
      </c>
      <c r="CB36" s="118">
        <f t="shared" si="12"/>
        <v>0.38600000000000001</v>
      </c>
      <c r="CC36" s="119">
        <f t="shared" si="13"/>
        <v>4530.1236560618408</v>
      </c>
      <c r="CD36" s="99"/>
      <c r="CR36" s="100" t="s">
        <v>149</v>
      </c>
      <c r="CS36" s="104" t="s">
        <v>150</v>
      </c>
      <c r="CW36" s="104" t="s">
        <v>147</v>
      </c>
      <c r="CX36" s="104" t="s">
        <v>147</v>
      </c>
    </row>
    <row r="37" spans="2:104" ht="15" customHeight="1" x14ac:dyDescent="0.25">
      <c r="B37" s="53"/>
      <c r="C37" s="158" t="s">
        <v>597</v>
      </c>
      <c r="D37" s="152"/>
      <c r="E37" s="572"/>
      <c r="F37" s="54"/>
      <c r="G37" s="154">
        <f>E119</f>
        <v>0</v>
      </c>
      <c r="H37" s="154"/>
      <c r="I37" s="154">
        <f>I119</f>
        <v>11226.234640077382</v>
      </c>
      <c r="J37" s="154"/>
      <c r="K37" s="154">
        <f>K119</f>
        <v>0</v>
      </c>
      <c r="L37" s="154"/>
      <c r="M37" s="154">
        <f>M119</f>
        <v>0</v>
      </c>
      <c r="N37" s="154"/>
      <c r="O37" s="154">
        <f>O119</f>
        <v>0</v>
      </c>
      <c r="P37" s="154"/>
      <c r="Q37" s="154">
        <f>Q119</f>
        <v>0</v>
      </c>
      <c r="R37" s="154"/>
      <c r="S37" s="155">
        <f>S119</f>
        <v>0</v>
      </c>
      <c r="T37" s="56"/>
      <c r="V37" s="519">
        <v>28</v>
      </c>
      <c r="W37" s="457" t="s">
        <v>150</v>
      </c>
      <c r="X37" s="520">
        <v>39154.9</v>
      </c>
      <c r="Y37" s="520">
        <v>573109024.59300005</v>
      </c>
      <c r="Z37" s="520">
        <v>126510680.08400001</v>
      </c>
      <c r="AA37" s="520">
        <v>24398.718000000001</v>
      </c>
      <c r="AB37" s="520">
        <v>10478.67</v>
      </c>
      <c r="AC37" s="520">
        <v>39468698.056999996</v>
      </c>
      <c r="AD37" s="520">
        <v>0.38600000000000001</v>
      </c>
      <c r="AE37" s="520">
        <v>0.16600000000000001</v>
      </c>
      <c r="AF37" s="520">
        <v>623.95799999999997</v>
      </c>
      <c r="AG37" s="520">
        <v>8.5000000000000006E-2</v>
      </c>
      <c r="AH37" s="520">
        <v>8.8999999999999996E-2</v>
      </c>
      <c r="AI37" s="520">
        <v>3.6999999999999998E-2</v>
      </c>
      <c r="AJ37" s="520">
        <v>137.73500000000001</v>
      </c>
      <c r="AK37" s="520">
        <v>0.71299999999999997</v>
      </c>
      <c r="AL37" s="520">
        <v>0.26700000000000002</v>
      </c>
      <c r="AM37" s="520">
        <v>1194.4960000000001</v>
      </c>
      <c r="AN37" s="520">
        <v>8.4000000000000005E-2</v>
      </c>
      <c r="AO37" s="520">
        <v>3.2000000000000001E-2</v>
      </c>
      <c r="AP37" s="520">
        <v>141.303</v>
      </c>
      <c r="AQ37" s="520">
        <v>14204598.859999999</v>
      </c>
      <c r="AR37" s="520">
        <v>84102.297999999995</v>
      </c>
      <c r="AS37" s="520">
        <v>51784571.578000002</v>
      </c>
      <c r="AT37" s="520">
        <v>0</v>
      </c>
      <c r="AU37" s="520">
        <v>0.112</v>
      </c>
      <c r="AV37" s="520">
        <v>1E-3</v>
      </c>
      <c r="AW37" s="520">
        <v>0.40899999999999997</v>
      </c>
      <c r="AX37" s="520">
        <v>0</v>
      </c>
      <c r="AY37" s="520">
        <v>0.53600000000000003</v>
      </c>
      <c r="AZ37" s="517">
        <f t="shared" si="5"/>
        <v>4530.1236560618408</v>
      </c>
      <c r="BA37" s="518">
        <f t="shared" si="6"/>
        <v>8673.8404329220066</v>
      </c>
      <c r="BY37" s="117" t="str">
        <f t="shared" si="9"/>
        <v>ND</v>
      </c>
      <c r="BZ37" s="118">
        <f t="shared" si="10"/>
        <v>1288.364</v>
      </c>
      <c r="CA37" s="118">
        <f t="shared" si="11"/>
        <v>1.603</v>
      </c>
      <c r="CB37" s="118">
        <f t="shared" si="12"/>
        <v>1.3260000000000001</v>
      </c>
      <c r="CC37" s="119">
        <f t="shared" si="13"/>
        <v>6105.2491414563729</v>
      </c>
      <c r="CD37" s="99"/>
      <c r="CR37" s="100" t="s">
        <v>151</v>
      </c>
      <c r="CS37" s="104" t="s">
        <v>152</v>
      </c>
      <c r="CW37" s="104" t="s">
        <v>149</v>
      </c>
      <c r="CX37" s="104" t="s">
        <v>149</v>
      </c>
    </row>
    <row r="38" spans="2:104" ht="15" customHeight="1" x14ac:dyDescent="0.25">
      <c r="B38" s="53"/>
      <c r="C38" s="158" t="s">
        <v>65</v>
      </c>
      <c r="D38" s="152"/>
      <c r="E38" s="572"/>
      <c r="F38" s="54"/>
      <c r="G38" s="154">
        <f>E123</f>
        <v>0</v>
      </c>
      <c r="H38" s="154"/>
      <c r="I38" s="154">
        <f>I123</f>
        <v>0</v>
      </c>
      <c r="J38" s="154"/>
      <c r="K38" s="154">
        <f>K123</f>
        <v>0</v>
      </c>
      <c r="L38" s="154"/>
      <c r="M38" s="154">
        <f>M123</f>
        <v>0</v>
      </c>
      <c r="N38" s="154"/>
      <c r="O38" s="154">
        <f>O123</f>
        <v>0</v>
      </c>
      <c r="P38" s="154"/>
      <c r="Q38" s="154">
        <f>Q123</f>
        <v>0</v>
      </c>
      <c r="R38" s="154"/>
      <c r="S38" s="155">
        <f>S123</f>
        <v>0</v>
      </c>
      <c r="T38" s="56"/>
      <c r="V38" s="519">
        <v>29</v>
      </c>
      <c r="W38" s="457" t="s">
        <v>152</v>
      </c>
      <c r="X38" s="520">
        <v>9875.2000000000007</v>
      </c>
      <c r="Y38" s="520">
        <v>256840548.58199999</v>
      </c>
      <c r="Z38" s="520">
        <v>42068807.125</v>
      </c>
      <c r="AA38" s="520">
        <v>27883.391</v>
      </c>
      <c r="AB38" s="520">
        <v>33709.341</v>
      </c>
      <c r="AC38" s="520">
        <v>27099969.919</v>
      </c>
      <c r="AD38" s="520">
        <v>1.3260000000000001</v>
      </c>
      <c r="AE38" s="520">
        <v>1.603</v>
      </c>
      <c r="AF38" s="520">
        <v>1288.364</v>
      </c>
      <c r="AG38" s="520">
        <v>0.217</v>
      </c>
      <c r="AH38" s="520">
        <v>0.216</v>
      </c>
      <c r="AI38" s="520">
        <v>0.26200000000000001</v>
      </c>
      <c r="AJ38" s="520">
        <v>211.02600000000001</v>
      </c>
      <c r="AK38" s="520">
        <v>2.194</v>
      </c>
      <c r="AL38" s="520">
        <v>2.6539999999999999</v>
      </c>
      <c r="AM38" s="520">
        <v>2132.674</v>
      </c>
      <c r="AN38" s="520">
        <v>0.217</v>
      </c>
      <c r="AO38" s="520">
        <v>0.26300000000000001</v>
      </c>
      <c r="AP38" s="520">
        <v>211.09299999999999</v>
      </c>
      <c r="AQ38" s="520">
        <v>22525075.524999999</v>
      </c>
      <c r="AR38" s="520">
        <v>53110.228000000003</v>
      </c>
      <c r="AS38" s="520">
        <v>2833420.6140000001</v>
      </c>
      <c r="AT38" s="520">
        <v>23420.763999999999</v>
      </c>
      <c r="AU38" s="520">
        <v>0.53500000000000003</v>
      </c>
      <c r="AV38" s="520">
        <v>1E-3</v>
      </c>
      <c r="AW38" s="520">
        <v>6.7000000000000004E-2</v>
      </c>
      <c r="AX38" s="520">
        <v>1E-3</v>
      </c>
      <c r="AY38" s="520">
        <v>0.60499999999999998</v>
      </c>
      <c r="AZ38" s="517">
        <f t="shared" si="5"/>
        <v>6105.2491414563729</v>
      </c>
      <c r="BA38" s="518">
        <f t="shared" si="6"/>
        <v>10097.907395937662</v>
      </c>
      <c r="BY38" s="117" t="str">
        <f t="shared" si="9"/>
        <v>NE</v>
      </c>
      <c r="BZ38" s="118">
        <f t="shared" si="10"/>
        <v>1018.154</v>
      </c>
      <c r="CA38" s="118">
        <f t="shared" si="11"/>
        <v>2.1190000000000002</v>
      </c>
      <c r="CB38" s="118">
        <f t="shared" si="12"/>
        <v>0.95499999999999996</v>
      </c>
      <c r="CC38" s="119">
        <f t="shared" si="13"/>
        <v>5065.0984246321177</v>
      </c>
      <c r="CD38" s="99"/>
      <c r="CR38" s="100" t="s">
        <v>153</v>
      </c>
      <c r="CS38" s="104" t="s">
        <v>154</v>
      </c>
      <c r="CW38" s="104" t="s">
        <v>151</v>
      </c>
      <c r="CX38" s="104" t="s">
        <v>151</v>
      </c>
    </row>
    <row r="39" spans="2:104" ht="15" customHeight="1" x14ac:dyDescent="0.25">
      <c r="B39" s="53"/>
      <c r="C39" s="158" t="s">
        <v>930</v>
      </c>
      <c r="D39" s="152"/>
      <c r="E39" s="572"/>
      <c r="F39" s="54"/>
      <c r="G39" s="154">
        <f>E127</f>
        <v>0</v>
      </c>
      <c r="H39" s="154"/>
      <c r="I39" s="154">
        <f>I127</f>
        <v>0</v>
      </c>
      <c r="J39" s="154"/>
      <c r="K39" s="154">
        <f>K127</f>
        <v>0</v>
      </c>
      <c r="L39" s="154"/>
      <c r="M39" s="154">
        <f>M127</f>
        <v>0</v>
      </c>
      <c r="N39" s="154"/>
      <c r="O39" s="154">
        <f>O127</f>
        <v>0</v>
      </c>
      <c r="P39" s="154"/>
      <c r="Q39" s="154">
        <f>Q127</f>
        <v>0</v>
      </c>
      <c r="R39" s="154"/>
      <c r="S39" s="155">
        <f>S127</f>
        <v>0</v>
      </c>
      <c r="T39" s="56"/>
      <c r="V39" s="519">
        <v>30</v>
      </c>
      <c r="W39" s="457" t="s">
        <v>154</v>
      </c>
      <c r="X39" s="520">
        <v>11356.2</v>
      </c>
      <c r="Y39" s="520">
        <v>199797644.55899999</v>
      </c>
      <c r="Z39" s="520">
        <v>39445955.005999997</v>
      </c>
      <c r="AA39" s="520">
        <v>18829.620999999999</v>
      </c>
      <c r="AB39" s="520">
        <v>41789.504000000001</v>
      </c>
      <c r="AC39" s="520">
        <v>20081034.173999999</v>
      </c>
      <c r="AD39" s="520">
        <v>0.95499999999999996</v>
      </c>
      <c r="AE39" s="520">
        <v>2.1190000000000002</v>
      </c>
      <c r="AF39" s="520">
        <v>1018.154</v>
      </c>
      <c r="AG39" s="520">
        <v>0.188</v>
      </c>
      <c r="AH39" s="520">
        <v>0.192</v>
      </c>
      <c r="AI39" s="520">
        <v>0.41799999999999998</v>
      </c>
      <c r="AJ39" s="520">
        <v>201.01400000000001</v>
      </c>
      <c r="AK39" s="520">
        <v>1.9059999999999999</v>
      </c>
      <c r="AL39" s="520">
        <v>4.3099999999999996</v>
      </c>
      <c r="AM39" s="520">
        <v>2071.3449999999998</v>
      </c>
      <c r="AN39" s="520">
        <v>0.186</v>
      </c>
      <c r="AO39" s="520">
        <v>0.42</v>
      </c>
      <c r="AP39" s="520">
        <v>201.77799999999999</v>
      </c>
      <c r="AQ39" s="520">
        <v>17916482</v>
      </c>
      <c r="AR39" s="520">
        <v>35117.440999999999</v>
      </c>
      <c r="AS39" s="520">
        <v>1410845.68</v>
      </c>
      <c r="AT39" s="520">
        <v>0</v>
      </c>
      <c r="AU39" s="520">
        <v>0.45400000000000001</v>
      </c>
      <c r="AV39" s="520">
        <v>1E-3</v>
      </c>
      <c r="AW39" s="520">
        <v>3.5999999999999997E-2</v>
      </c>
      <c r="AX39" s="520">
        <v>0</v>
      </c>
      <c r="AY39" s="520">
        <v>0.49299999999999999</v>
      </c>
      <c r="AZ39" s="517">
        <f t="shared" si="5"/>
        <v>5065.0984246321177</v>
      </c>
      <c r="BA39" s="518">
        <f t="shared" si="6"/>
        <v>10318.823026246035</v>
      </c>
      <c r="BY39" s="117" t="str">
        <f t="shared" si="9"/>
        <v>NH</v>
      </c>
      <c r="BZ39" s="118">
        <f t="shared" si="10"/>
        <v>272.85399999999998</v>
      </c>
      <c r="CA39" s="118">
        <f t="shared" si="11"/>
        <v>5.2999999999999999E-2</v>
      </c>
      <c r="CB39" s="118">
        <f t="shared" si="12"/>
        <v>0.13400000000000001</v>
      </c>
      <c r="CC39" s="119">
        <f t="shared" si="13"/>
        <v>2777.6827901340616</v>
      </c>
      <c r="CD39" s="99"/>
      <c r="CR39" s="100" t="s">
        <v>155</v>
      </c>
      <c r="CS39" s="104" t="s">
        <v>156</v>
      </c>
      <c r="CW39" s="104" t="s">
        <v>153</v>
      </c>
      <c r="CX39" s="104" t="s">
        <v>153</v>
      </c>
    </row>
    <row r="40" spans="2:104" ht="15" customHeight="1" x14ac:dyDescent="0.35">
      <c r="B40" s="53"/>
      <c r="C40" s="159" t="s">
        <v>935</v>
      </c>
      <c r="D40" s="160"/>
      <c r="E40" s="573"/>
      <c r="F40" s="54"/>
      <c r="G40" s="162">
        <f>E130</f>
        <v>18394.512756131779</v>
      </c>
      <c r="H40" s="162"/>
      <c r="I40" s="162">
        <f>I130</f>
        <v>11226.234640077382</v>
      </c>
      <c r="J40" s="162"/>
      <c r="K40" s="162">
        <f>K130</f>
        <v>0</v>
      </c>
      <c r="L40" s="162"/>
      <c r="M40" s="162">
        <f>M130</f>
        <v>0</v>
      </c>
      <c r="N40" s="162"/>
      <c r="O40" s="162">
        <f>O130</f>
        <v>0</v>
      </c>
      <c r="P40" s="162"/>
      <c r="Q40" s="162">
        <f>Q130</f>
        <v>0</v>
      </c>
      <c r="R40" s="162"/>
      <c r="S40" s="163">
        <f>S130</f>
        <v>0</v>
      </c>
      <c r="T40" s="56"/>
      <c r="V40" s="519">
        <v>31</v>
      </c>
      <c r="W40" s="457" t="s">
        <v>156</v>
      </c>
      <c r="X40" s="520">
        <v>4732.3999999999996</v>
      </c>
      <c r="Y40" s="520">
        <v>46734509.858000003</v>
      </c>
      <c r="Z40" s="520">
        <v>16824998.888999999</v>
      </c>
      <c r="AA40" s="520">
        <v>1127.4680000000001</v>
      </c>
      <c r="AB40" s="520">
        <v>449.09399999999999</v>
      </c>
      <c r="AC40" s="520">
        <v>2295383.716</v>
      </c>
      <c r="AD40" s="520">
        <v>0.13400000000000001</v>
      </c>
      <c r="AE40" s="520">
        <v>5.2999999999999999E-2</v>
      </c>
      <c r="AF40" s="520">
        <v>272.85399999999998</v>
      </c>
      <c r="AG40" s="520">
        <v>4.8000000000000001E-2</v>
      </c>
      <c r="AH40" s="520">
        <v>3.5000000000000003E-2</v>
      </c>
      <c r="AI40" s="520">
        <v>1.9E-2</v>
      </c>
      <c r="AJ40" s="520">
        <v>98.230999999999995</v>
      </c>
      <c r="AK40" s="520">
        <v>0.253</v>
      </c>
      <c r="AL40" s="520">
        <v>0.10299999999999999</v>
      </c>
      <c r="AM40" s="520">
        <v>929.24800000000005</v>
      </c>
      <c r="AN40" s="520">
        <v>3.4000000000000002E-2</v>
      </c>
      <c r="AO40" s="520">
        <v>1.4E-2</v>
      </c>
      <c r="AP40" s="520">
        <v>124.005</v>
      </c>
      <c r="AQ40" s="520">
        <v>160140.26999999999</v>
      </c>
      <c r="AR40" s="520">
        <v>67959.205000000002</v>
      </c>
      <c r="AS40" s="520">
        <v>4225547.9189999998</v>
      </c>
      <c r="AT40" s="520">
        <v>51090.385000000002</v>
      </c>
      <c r="AU40" s="520">
        <v>0.01</v>
      </c>
      <c r="AV40" s="520">
        <v>4.0000000000000001E-3</v>
      </c>
      <c r="AW40" s="520">
        <v>0.251</v>
      </c>
      <c r="AX40" s="520">
        <v>3.0000000000000001E-3</v>
      </c>
      <c r="AY40" s="520">
        <v>0.314</v>
      </c>
      <c r="AZ40" s="517">
        <f t="shared" si="5"/>
        <v>2777.6827901340616</v>
      </c>
      <c r="BA40" s="518">
        <f t="shared" si="6"/>
        <v>10374.523923648789</v>
      </c>
      <c r="BY40" s="117" t="str">
        <f t="shared" si="9"/>
        <v>NJ</v>
      </c>
      <c r="BZ40" s="118">
        <f t="shared" si="10"/>
        <v>468.31</v>
      </c>
      <c r="CA40" s="118">
        <f t="shared" si="11"/>
        <v>5.8999999999999997E-2</v>
      </c>
      <c r="CB40" s="118">
        <f t="shared" si="12"/>
        <v>0.16300000000000001</v>
      </c>
      <c r="CC40" s="119">
        <f t="shared" si="13"/>
        <v>4020.1317891934477</v>
      </c>
      <c r="CD40" s="99"/>
      <c r="CR40" s="100" t="s">
        <v>157</v>
      </c>
      <c r="CS40" s="104" t="s">
        <v>158</v>
      </c>
      <c r="CW40" s="104" t="s">
        <v>155</v>
      </c>
      <c r="CX40" s="104" t="s">
        <v>155</v>
      </c>
    </row>
    <row r="41" spans="2:104" ht="15" customHeight="1" x14ac:dyDescent="0.35">
      <c r="B41" s="53"/>
      <c r="C41" s="164" t="s">
        <v>936</v>
      </c>
      <c r="D41" s="165"/>
      <c r="E41" s="571" t="s">
        <v>933</v>
      </c>
      <c r="F41" s="148"/>
      <c r="G41" s="169"/>
      <c r="H41" s="169"/>
      <c r="I41" s="169"/>
      <c r="J41" s="169"/>
      <c r="K41" s="169"/>
      <c r="L41" s="169"/>
      <c r="M41" s="169"/>
      <c r="N41" s="169"/>
      <c r="O41" s="169"/>
      <c r="P41" s="169"/>
      <c r="Q41" s="169"/>
      <c r="R41" s="169"/>
      <c r="S41" s="170"/>
      <c r="T41" s="56"/>
      <c r="V41" s="519">
        <v>32</v>
      </c>
      <c r="W41" s="457" t="s">
        <v>158</v>
      </c>
      <c r="X41" s="520">
        <v>18289.3</v>
      </c>
      <c r="Y41" s="520">
        <v>258072545.266</v>
      </c>
      <c r="Z41" s="520">
        <v>64195046.033</v>
      </c>
      <c r="AA41" s="520">
        <v>5217.2020000000002</v>
      </c>
      <c r="AB41" s="520">
        <v>1890.376</v>
      </c>
      <c r="AC41" s="520">
        <v>15031580.67</v>
      </c>
      <c r="AD41" s="520">
        <v>0.16300000000000001</v>
      </c>
      <c r="AE41" s="520">
        <v>5.8999999999999997E-2</v>
      </c>
      <c r="AF41" s="520">
        <v>468.31</v>
      </c>
      <c r="AG41" s="520">
        <v>0.04</v>
      </c>
      <c r="AH41" s="520">
        <v>3.7999999999999999E-2</v>
      </c>
      <c r="AI41" s="520">
        <v>1.4999999999999999E-2</v>
      </c>
      <c r="AJ41" s="520">
        <v>116.491</v>
      </c>
      <c r="AK41" s="520">
        <v>0.19400000000000001</v>
      </c>
      <c r="AL41" s="520">
        <v>6.0000000000000001E-3</v>
      </c>
      <c r="AM41" s="520">
        <v>837.90899999999999</v>
      </c>
      <c r="AN41" s="520">
        <v>2.7E-2</v>
      </c>
      <c r="AO41" s="520">
        <v>1E-3</v>
      </c>
      <c r="AP41" s="520">
        <v>117.965</v>
      </c>
      <c r="AQ41" s="520">
        <v>0</v>
      </c>
      <c r="AR41" s="520">
        <v>42265.62</v>
      </c>
      <c r="AS41" s="520">
        <v>33045872.294</v>
      </c>
      <c r="AT41" s="520">
        <v>705532.53500000003</v>
      </c>
      <c r="AU41" s="520">
        <v>0</v>
      </c>
      <c r="AV41" s="520">
        <v>1E-3</v>
      </c>
      <c r="AW41" s="520">
        <v>0.51500000000000001</v>
      </c>
      <c r="AX41" s="520">
        <v>1.0999999999999999E-2</v>
      </c>
      <c r="AY41" s="520">
        <v>0.53700000000000003</v>
      </c>
      <c r="AZ41" s="517">
        <f t="shared" si="5"/>
        <v>4020.1317891934477</v>
      </c>
      <c r="BA41" s="518">
        <f t="shared" si="6"/>
        <v>7636.712491928698</v>
      </c>
      <c r="BY41" s="117" t="str">
        <f t="shared" si="9"/>
        <v>NM</v>
      </c>
      <c r="BZ41" s="118">
        <f t="shared" si="10"/>
        <v>770.21400000000006</v>
      </c>
      <c r="CA41" s="118">
        <f t="shared" si="11"/>
        <v>0.105</v>
      </c>
      <c r="CB41" s="118">
        <f t="shared" si="12"/>
        <v>0.39400000000000002</v>
      </c>
      <c r="CC41" s="119">
        <f t="shared" si="13"/>
        <v>5059.9406656267311</v>
      </c>
      <c r="CD41" s="99"/>
      <c r="CR41" s="100" t="s">
        <v>160</v>
      </c>
      <c r="CS41" s="104" t="s">
        <v>161</v>
      </c>
      <c r="CW41" s="104" t="s">
        <v>157</v>
      </c>
      <c r="CX41" s="104" t="s">
        <v>157</v>
      </c>
    </row>
    <row r="42" spans="2:104" ht="15" customHeight="1" x14ac:dyDescent="0.25">
      <c r="B42" s="53"/>
      <c r="C42" s="158" t="s">
        <v>934</v>
      </c>
      <c r="D42" s="152"/>
      <c r="E42" s="572"/>
      <c r="F42" s="54"/>
      <c r="G42" s="154">
        <f>E116</f>
        <v>8.2106788715740002</v>
      </c>
      <c r="H42" s="154"/>
      <c r="I42" s="154">
        <f>I116</f>
        <v>0</v>
      </c>
      <c r="J42" s="154"/>
      <c r="K42" s="154">
        <f>K116</f>
        <v>0</v>
      </c>
      <c r="L42" s="154"/>
      <c r="M42" s="154">
        <f>M116</f>
        <v>0</v>
      </c>
      <c r="N42" s="154"/>
      <c r="O42" s="154">
        <f>O116</f>
        <v>0</v>
      </c>
      <c r="P42" s="154"/>
      <c r="Q42" s="154">
        <f>Q116</f>
        <v>0</v>
      </c>
      <c r="R42" s="154"/>
      <c r="S42" s="155">
        <f>S116</f>
        <v>0</v>
      </c>
      <c r="T42" s="56"/>
      <c r="V42" s="519">
        <v>33</v>
      </c>
      <c r="W42" s="457" t="s">
        <v>161</v>
      </c>
      <c r="X42" s="520">
        <v>11346</v>
      </c>
      <c r="Y42" s="520">
        <v>198647495.94100001</v>
      </c>
      <c r="Z42" s="520">
        <v>39258858.762999997</v>
      </c>
      <c r="AA42" s="520">
        <v>7727.3729999999996</v>
      </c>
      <c r="AB42" s="520">
        <v>2068.81</v>
      </c>
      <c r="AC42" s="520">
        <v>15118858.605</v>
      </c>
      <c r="AD42" s="520">
        <v>0.39400000000000002</v>
      </c>
      <c r="AE42" s="520">
        <v>0.105</v>
      </c>
      <c r="AF42" s="520">
        <v>770.21400000000006</v>
      </c>
      <c r="AG42" s="520">
        <v>7.8E-2</v>
      </c>
      <c r="AH42" s="520">
        <v>7.4999999999999997E-2</v>
      </c>
      <c r="AI42" s="520">
        <v>2.1000000000000001E-2</v>
      </c>
      <c r="AJ42" s="520">
        <v>152.21799999999999</v>
      </c>
      <c r="AK42" s="520">
        <v>0.67500000000000004</v>
      </c>
      <c r="AL42" s="520">
        <v>0.192</v>
      </c>
      <c r="AM42" s="520">
        <v>1399.692</v>
      </c>
      <c r="AN42" s="520">
        <v>7.2999999999999995E-2</v>
      </c>
      <c r="AO42" s="520">
        <v>2.1000000000000001E-2</v>
      </c>
      <c r="AP42" s="520">
        <v>152.339</v>
      </c>
      <c r="AQ42" s="520">
        <v>7371813.2999999998</v>
      </c>
      <c r="AR42" s="520">
        <v>1411.085</v>
      </c>
      <c r="AS42" s="520">
        <v>14230764.755000001</v>
      </c>
      <c r="AT42" s="520">
        <v>0</v>
      </c>
      <c r="AU42" s="520">
        <v>0.188</v>
      </c>
      <c r="AV42" s="520">
        <v>0</v>
      </c>
      <c r="AW42" s="520">
        <v>0.36199999999999999</v>
      </c>
      <c r="AX42" s="520">
        <v>0</v>
      </c>
      <c r="AY42" s="520">
        <v>0.55100000000000005</v>
      </c>
      <c r="AZ42" s="517">
        <f t="shared" si="5"/>
        <v>5059.9406656267311</v>
      </c>
      <c r="BA42" s="518">
        <f t="shared" si="6"/>
        <v>9194.945185988925</v>
      </c>
      <c r="BY42" s="117" t="str">
        <f t="shared" si="9"/>
        <v>NV</v>
      </c>
      <c r="BZ42" s="118">
        <f t="shared" si="10"/>
        <v>642.37</v>
      </c>
      <c r="CA42" s="118">
        <f t="shared" si="11"/>
        <v>0.13700000000000001</v>
      </c>
      <c r="CB42" s="118">
        <f t="shared" si="12"/>
        <v>0.47899999999999998</v>
      </c>
      <c r="CC42" s="119">
        <f t="shared" si="13"/>
        <v>4975.5868464314153</v>
      </c>
      <c r="CD42" s="99"/>
      <c r="CR42" s="100" t="s">
        <v>162</v>
      </c>
      <c r="CS42" s="104" t="s">
        <v>163</v>
      </c>
      <c r="CW42" s="104" t="s">
        <v>160</v>
      </c>
      <c r="CX42" s="104" t="s">
        <v>160</v>
      </c>
    </row>
    <row r="43" spans="2:104" ht="15" customHeight="1" x14ac:dyDescent="0.25">
      <c r="B43" s="53"/>
      <c r="C43" s="158" t="s">
        <v>597</v>
      </c>
      <c r="D43" s="152"/>
      <c r="E43" s="572"/>
      <c r="F43" s="54"/>
      <c r="G43" s="154">
        <f>E120</f>
        <v>0</v>
      </c>
      <c r="H43" s="154"/>
      <c r="I43" s="154">
        <f>I120</f>
        <v>5.6131173200386901E-2</v>
      </c>
      <c r="J43" s="154"/>
      <c r="K43" s="154">
        <f>K120</f>
        <v>0</v>
      </c>
      <c r="L43" s="154"/>
      <c r="M43" s="154">
        <f>M120</f>
        <v>0</v>
      </c>
      <c r="N43" s="154"/>
      <c r="O43" s="154">
        <f>O120</f>
        <v>0</v>
      </c>
      <c r="P43" s="154"/>
      <c r="Q43" s="154">
        <f>Q120</f>
        <v>0</v>
      </c>
      <c r="R43" s="154"/>
      <c r="S43" s="155">
        <f>S120</f>
        <v>0</v>
      </c>
      <c r="T43" s="56"/>
      <c r="V43" s="519">
        <v>34</v>
      </c>
      <c r="W43" s="457" t="s">
        <v>163</v>
      </c>
      <c r="X43" s="520">
        <v>16023.5</v>
      </c>
      <c r="Y43" s="520">
        <v>209782461.31099999</v>
      </c>
      <c r="Z43" s="520">
        <v>42162355.473999999</v>
      </c>
      <c r="AA43" s="520">
        <v>10091.102999999999</v>
      </c>
      <c r="AB43" s="520">
        <v>2890.027</v>
      </c>
      <c r="AC43" s="520">
        <v>13541908.809</v>
      </c>
      <c r="AD43" s="520">
        <v>0.47899999999999998</v>
      </c>
      <c r="AE43" s="520">
        <v>0.13700000000000001</v>
      </c>
      <c r="AF43" s="520">
        <v>642.37</v>
      </c>
      <c r="AG43" s="520">
        <v>9.6000000000000002E-2</v>
      </c>
      <c r="AH43" s="520">
        <v>0.11</v>
      </c>
      <c r="AI43" s="520">
        <v>2.8000000000000001E-2</v>
      </c>
      <c r="AJ43" s="520">
        <v>129.10400000000001</v>
      </c>
      <c r="AK43" s="520">
        <v>0.754</v>
      </c>
      <c r="AL43" s="520">
        <v>0.215</v>
      </c>
      <c r="AM43" s="520">
        <v>1009.955</v>
      </c>
      <c r="AN43" s="520">
        <v>9.7000000000000003E-2</v>
      </c>
      <c r="AO43" s="520">
        <v>2.8000000000000001E-2</v>
      </c>
      <c r="AP43" s="520">
        <v>129.279</v>
      </c>
      <c r="AQ43" s="520">
        <v>2059635.61</v>
      </c>
      <c r="AR43" s="520">
        <v>7892.4319999999998</v>
      </c>
      <c r="AS43" s="520">
        <v>24599326.477000002</v>
      </c>
      <c r="AT43" s="520">
        <v>0</v>
      </c>
      <c r="AU43" s="520">
        <v>4.9000000000000002E-2</v>
      </c>
      <c r="AV43" s="520">
        <v>0</v>
      </c>
      <c r="AW43" s="520">
        <v>0.58299999999999996</v>
      </c>
      <c r="AX43" s="520">
        <v>0</v>
      </c>
      <c r="AY43" s="520">
        <v>0.63400000000000001</v>
      </c>
      <c r="AZ43" s="517">
        <f t="shared" si="5"/>
        <v>4975.5868464314153</v>
      </c>
      <c r="BA43" s="518">
        <f t="shared" si="6"/>
        <v>7866.786881877315</v>
      </c>
      <c r="BY43" s="117" t="str">
        <f t="shared" si="9"/>
        <v>NY</v>
      </c>
      <c r="BZ43" s="118">
        <f t="shared" si="10"/>
        <v>465.13600000000002</v>
      </c>
      <c r="CA43" s="118">
        <f t="shared" si="11"/>
        <v>5.0999999999999997E-2</v>
      </c>
      <c r="CB43" s="118">
        <f t="shared" si="12"/>
        <v>0.183</v>
      </c>
      <c r="CC43" s="119">
        <f t="shared" si="13"/>
        <v>4042.2495609216826</v>
      </c>
      <c r="CD43" s="99"/>
      <c r="CR43" s="100" t="s">
        <v>164</v>
      </c>
      <c r="CS43" s="104" t="s">
        <v>165</v>
      </c>
      <c r="CW43" s="104" t="s">
        <v>162</v>
      </c>
      <c r="CX43" s="104" t="s">
        <v>162</v>
      </c>
    </row>
    <row r="44" spans="2:104" ht="15" customHeight="1" x14ac:dyDescent="0.25">
      <c r="B44" s="53"/>
      <c r="C44" s="158" t="s">
        <v>65</v>
      </c>
      <c r="D44" s="152"/>
      <c r="E44" s="572"/>
      <c r="F44" s="54"/>
      <c r="G44" s="154">
        <f>E124</f>
        <v>0</v>
      </c>
      <c r="H44" s="154"/>
      <c r="I44" s="154">
        <f>I124</f>
        <v>0</v>
      </c>
      <c r="J44" s="154"/>
      <c r="K44" s="154">
        <f>K124</f>
        <v>0</v>
      </c>
      <c r="L44" s="154"/>
      <c r="M44" s="154">
        <f>M124</f>
        <v>0</v>
      </c>
      <c r="N44" s="154"/>
      <c r="O44" s="154">
        <f>O124</f>
        <v>0</v>
      </c>
      <c r="P44" s="154"/>
      <c r="Q44" s="154">
        <f>Q124</f>
        <v>0</v>
      </c>
      <c r="R44" s="154"/>
      <c r="S44" s="155">
        <f>S124</f>
        <v>0</v>
      </c>
      <c r="T44" s="56"/>
      <c r="V44" s="519">
        <v>35</v>
      </c>
      <c r="W44" s="457" t="s">
        <v>165</v>
      </c>
      <c r="X44" s="520">
        <v>43557.9</v>
      </c>
      <c r="Y44" s="520">
        <v>499111591.08999997</v>
      </c>
      <c r="Z44" s="520">
        <v>123473720.15700001</v>
      </c>
      <c r="AA44" s="520">
        <v>11326.044</v>
      </c>
      <c r="AB44" s="520">
        <v>3166.1669999999999</v>
      </c>
      <c r="AC44" s="520">
        <v>28716017.307</v>
      </c>
      <c r="AD44" s="520">
        <v>0.183</v>
      </c>
      <c r="AE44" s="520">
        <v>5.0999999999999997E-2</v>
      </c>
      <c r="AF44" s="520">
        <v>465.13600000000002</v>
      </c>
      <c r="AG44" s="520">
        <v>4.4999999999999998E-2</v>
      </c>
      <c r="AH44" s="520">
        <v>4.3999999999999997E-2</v>
      </c>
      <c r="AI44" s="520">
        <v>1.2999999999999999E-2</v>
      </c>
      <c r="AJ44" s="520">
        <v>115.069</v>
      </c>
      <c r="AK44" s="520">
        <v>0.27200000000000002</v>
      </c>
      <c r="AL44" s="520">
        <v>2.5999999999999999E-2</v>
      </c>
      <c r="AM44" s="520">
        <v>933.79200000000003</v>
      </c>
      <c r="AN44" s="520">
        <v>3.4000000000000002E-2</v>
      </c>
      <c r="AO44" s="520">
        <v>3.0000000000000001E-3</v>
      </c>
      <c r="AP44" s="520">
        <v>117.777</v>
      </c>
      <c r="AQ44" s="520">
        <v>0</v>
      </c>
      <c r="AR44" s="520">
        <v>412022.01500000001</v>
      </c>
      <c r="AS44" s="520">
        <v>57947314.935999997</v>
      </c>
      <c r="AT44" s="520">
        <v>963374.62100000004</v>
      </c>
      <c r="AU44" s="520">
        <v>0</v>
      </c>
      <c r="AV44" s="520">
        <v>3.0000000000000001E-3</v>
      </c>
      <c r="AW44" s="520">
        <v>0.46899999999999997</v>
      </c>
      <c r="AX44" s="520">
        <v>8.0000000000000002E-3</v>
      </c>
      <c r="AY44" s="520">
        <v>0.49399999999999999</v>
      </c>
      <c r="AZ44" s="517">
        <f t="shared" si="5"/>
        <v>4042.2495609216826</v>
      </c>
      <c r="BA44" s="518">
        <f t="shared" si="6"/>
        <v>8413.4992798538551</v>
      </c>
      <c r="BY44" s="117" t="str">
        <f t="shared" si="9"/>
        <v>OH</v>
      </c>
      <c r="BZ44" s="118">
        <f t="shared" si="10"/>
        <v>1063.8430000000001</v>
      </c>
      <c r="CA44" s="118">
        <f t="shared" si="11"/>
        <v>0.61</v>
      </c>
      <c r="CB44" s="118">
        <f t="shared" si="12"/>
        <v>0.34399999999999997</v>
      </c>
      <c r="CC44" s="119">
        <f t="shared" si="13"/>
        <v>7054.5368357456136</v>
      </c>
      <c r="CD44" s="99"/>
      <c r="CR44" s="100" t="s">
        <v>166</v>
      </c>
      <c r="CS44" s="104" t="s">
        <v>167</v>
      </c>
      <c r="CW44" s="104" t="s">
        <v>164</v>
      </c>
      <c r="CX44" s="104" t="s">
        <v>164</v>
      </c>
    </row>
    <row r="45" spans="2:104" ht="15" customHeight="1" x14ac:dyDescent="0.25">
      <c r="B45" s="53"/>
      <c r="C45" s="158" t="s">
        <v>930</v>
      </c>
      <c r="D45" s="152"/>
      <c r="E45" s="572"/>
      <c r="F45" s="54"/>
      <c r="G45" s="154">
        <f>E128</f>
        <v>0</v>
      </c>
      <c r="H45" s="154"/>
      <c r="I45" s="154">
        <f>I128</f>
        <v>0</v>
      </c>
      <c r="J45" s="154"/>
      <c r="K45" s="154">
        <f>K128</f>
        <v>0</v>
      </c>
      <c r="L45" s="154"/>
      <c r="M45" s="154">
        <f>M128</f>
        <v>0</v>
      </c>
      <c r="N45" s="154"/>
      <c r="O45" s="154">
        <f>O128</f>
        <v>0</v>
      </c>
      <c r="P45" s="154"/>
      <c r="Q45" s="154">
        <f>Q128</f>
        <v>0</v>
      </c>
      <c r="R45" s="154"/>
      <c r="S45" s="155">
        <f>S128</f>
        <v>0</v>
      </c>
      <c r="T45" s="56"/>
      <c r="V45" s="519">
        <v>36</v>
      </c>
      <c r="W45" s="457" t="s">
        <v>167</v>
      </c>
      <c r="X45" s="520">
        <v>33503.5</v>
      </c>
      <c r="Y45" s="520">
        <v>939107638.76199996</v>
      </c>
      <c r="Z45" s="520">
        <v>133121090.814</v>
      </c>
      <c r="AA45" s="520">
        <v>22890.447</v>
      </c>
      <c r="AB45" s="520">
        <v>40604.292000000001</v>
      </c>
      <c r="AC45" s="520">
        <v>70809976.726999998</v>
      </c>
      <c r="AD45" s="520">
        <v>0.34399999999999997</v>
      </c>
      <c r="AE45" s="520">
        <v>0.61</v>
      </c>
      <c r="AF45" s="520">
        <v>1063.8430000000001</v>
      </c>
      <c r="AG45" s="520">
        <v>4.9000000000000002E-2</v>
      </c>
      <c r="AH45" s="520">
        <v>3.5999999999999997E-2</v>
      </c>
      <c r="AI45" s="520">
        <v>8.5999999999999993E-2</v>
      </c>
      <c r="AJ45" s="520">
        <v>150.803</v>
      </c>
      <c r="AK45" s="520">
        <v>0.40300000000000002</v>
      </c>
      <c r="AL45" s="520">
        <v>0.72499999999999998</v>
      </c>
      <c r="AM45" s="520">
        <v>1261.2280000000001</v>
      </c>
      <c r="AN45" s="520">
        <v>4.8000000000000001E-2</v>
      </c>
      <c r="AO45" s="520">
        <v>8.6999999999999994E-2</v>
      </c>
      <c r="AP45" s="520">
        <v>150.74100000000001</v>
      </c>
      <c r="AQ45" s="520">
        <v>31363276.285</v>
      </c>
      <c r="AR45" s="520">
        <v>1049331.57</v>
      </c>
      <c r="AS45" s="520">
        <v>78692836.791999996</v>
      </c>
      <c r="AT45" s="520">
        <v>795657.93200000003</v>
      </c>
      <c r="AU45" s="520">
        <v>0.23599999999999999</v>
      </c>
      <c r="AV45" s="520">
        <v>8.0000000000000002E-3</v>
      </c>
      <c r="AW45" s="520">
        <v>0.59099999999999997</v>
      </c>
      <c r="AX45" s="520">
        <v>6.0000000000000001E-3</v>
      </c>
      <c r="AY45" s="520">
        <v>0.84299999999999997</v>
      </c>
      <c r="AZ45" s="517">
        <f t="shared" si="5"/>
        <v>7054.5368357456136</v>
      </c>
      <c r="BA45" s="518">
        <f t="shared" si="6"/>
        <v>8392.3001393038849</v>
      </c>
      <c r="BY45" s="117" t="str">
        <f t="shared" si="9"/>
        <v>OK</v>
      </c>
      <c r="BZ45" s="118">
        <f t="shared" si="10"/>
        <v>647.20699999999999</v>
      </c>
      <c r="CA45" s="118">
        <f t="shared" si="11"/>
        <v>0.221</v>
      </c>
      <c r="CB45" s="118">
        <f t="shared" si="12"/>
        <v>0.46899999999999997</v>
      </c>
      <c r="CC45" s="119">
        <f t="shared" si="13"/>
        <v>5014.7712775524242</v>
      </c>
      <c r="CD45" s="99"/>
      <c r="CR45" s="100" t="s">
        <v>168</v>
      </c>
      <c r="CS45" s="104" t="s">
        <v>169</v>
      </c>
      <c r="CW45" s="104" t="s">
        <v>166</v>
      </c>
      <c r="CX45" s="104" t="s">
        <v>166</v>
      </c>
    </row>
    <row r="46" spans="2:104" ht="15" customHeight="1" x14ac:dyDescent="0.35">
      <c r="B46" s="53"/>
      <c r="C46" s="159" t="s">
        <v>937</v>
      </c>
      <c r="D46" s="160"/>
      <c r="E46" s="573"/>
      <c r="F46" s="54"/>
      <c r="G46" s="162">
        <f>E131</f>
        <v>8.2106788715740002</v>
      </c>
      <c r="H46" s="162"/>
      <c r="I46" s="162">
        <f>I131</f>
        <v>5.6131173200386901E-2</v>
      </c>
      <c r="J46" s="162"/>
      <c r="K46" s="162">
        <f>K131</f>
        <v>0</v>
      </c>
      <c r="L46" s="162"/>
      <c r="M46" s="162">
        <f>M131</f>
        <v>0</v>
      </c>
      <c r="N46" s="162"/>
      <c r="O46" s="162">
        <f>O131</f>
        <v>0</v>
      </c>
      <c r="P46" s="162"/>
      <c r="Q46" s="162">
        <f>Q131</f>
        <v>0</v>
      </c>
      <c r="R46" s="162"/>
      <c r="S46" s="163">
        <f>S131</f>
        <v>0</v>
      </c>
      <c r="T46" s="56"/>
      <c r="V46" s="519">
        <v>37</v>
      </c>
      <c r="W46" s="457" t="s">
        <v>169</v>
      </c>
      <c r="X46" s="520">
        <v>33980.400000000001</v>
      </c>
      <c r="Y46" s="520">
        <v>445703422.71799999</v>
      </c>
      <c r="Z46" s="520">
        <v>88878115.879999995</v>
      </c>
      <c r="AA46" s="520">
        <v>20863.357</v>
      </c>
      <c r="AB46" s="520">
        <v>9813.3019999999997</v>
      </c>
      <c r="AC46" s="520">
        <v>28761252.734999999</v>
      </c>
      <c r="AD46" s="520">
        <v>0.46899999999999997</v>
      </c>
      <c r="AE46" s="520">
        <v>0.221</v>
      </c>
      <c r="AF46" s="520">
        <v>647.20699999999999</v>
      </c>
      <c r="AG46" s="520">
        <v>9.4E-2</v>
      </c>
      <c r="AH46" s="520">
        <v>0.10199999999999999</v>
      </c>
      <c r="AI46" s="520">
        <v>4.3999999999999997E-2</v>
      </c>
      <c r="AJ46" s="520">
        <v>129.06</v>
      </c>
      <c r="AK46" s="520">
        <v>0.82899999999999996</v>
      </c>
      <c r="AL46" s="520">
        <v>0.378</v>
      </c>
      <c r="AM46" s="520">
        <v>1150.2249999999999</v>
      </c>
      <c r="AN46" s="520">
        <v>9.2999999999999999E-2</v>
      </c>
      <c r="AO46" s="520">
        <v>4.2999999999999997E-2</v>
      </c>
      <c r="AP46" s="520">
        <v>129.673</v>
      </c>
      <c r="AQ46" s="520">
        <v>5061859.0729999999</v>
      </c>
      <c r="AR46" s="520">
        <v>19727.440999999999</v>
      </c>
      <c r="AS46" s="520">
        <v>44991794.847999997</v>
      </c>
      <c r="AT46" s="520">
        <v>18472.083999999999</v>
      </c>
      <c r="AU46" s="520">
        <v>5.7000000000000002E-2</v>
      </c>
      <c r="AV46" s="520">
        <v>0</v>
      </c>
      <c r="AW46" s="520">
        <v>0.50600000000000001</v>
      </c>
      <c r="AX46" s="520">
        <v>0</v>
      </c>
      <c r="AY46" s="520">
        <v>0.56699999999999995</v>
      </c>
      <c r="AZ46" s="517">
        <f t="shared" si="5"/>
        <v>5014.7712775524242</v>
      </c>
      <c r="BA46" s="518">
        <f t="shared" si="6"/>
        <v>8897.7227244840724</v>
      </c>
      <c r="BY46" s="117" t="str">
        <f t="shared" si="9"/>
        <v>OR</v>
      </c>
      <c r="BZ46" s="118">
        <f t="shared" si="10"/>
        <v>364.16199999999998</v>
      </c>
      <c r="CA46" s="118">
        <f t="shared" si="11"/>
        <v>0.02</v>
      </c>
      <c r="CB46" s="118">
        <f t="shared" si="12"/>
        <v>0.63900000000000001</v>
      </c>
      <c r="CC46" s="119">
        <f t="shared" si="13"/>
        <v>3221.8683848321298</v>
      </c>
      <c r="CD46" s="99"/>
      <c r="CR46" s="100" t="s">
        <v>170</v>
      </c>
      <c r="CS46" s="104" t="s">
        <v>171</v>
      </c>
      <c r="CW46" s="104" t="s">
        <v>168</v>
      </c>
      <c r="CX46" s="104" t="s">
        <v>168</v>
      </c>
    </row>
    <row r="47" spans="2:104" ht="15" customHeight="1" x14ac:dyDescent="0.35">
      <c r="B47" s="53"/>
      <c r="C47" s="164" t="s">
        <v>938</v>
      </c>
      <c r="D47" s="165"/>
      <c r="E47" s="571" t="s">
        <v>933</v>
      </c>
      <c r="F47" s="148"/>
      <c r="G47" s="169"/>
      <c r="H47" s="169"/>
      <c r="I47" s="169"/>
      <c r="J47" s="169"/>
      <c r="K47" s="169"/>
      <c r="L47" s="169"/>
      <c r="M47" s="169"/>
      <c r="N47" s="169"/>
      <c r="O47" s="169"/>
      <c r="P47" s="169"/>
      <c r="Q47" s="169"/>
      <c r="R47" s="169"/>
      <c r="S47" s="170"/>
      <c r="T47" s="56"/>
      <c r="V47" s="519">
        <v>38</v>
      </c>
      <c r="W47" s="457" t="s">
        <v>171</v>
      </c>
      <c r="X47" s="520">
        <v>18220.900000000001</v>
      </c>
      <c r="Y47" s="520">
        <v>198735474.18399999</v>
      </c>
      <c r="Z47" s="520">
        <v>61683300.012999997</v>
      </c>
      <c r="AA47" s="520">
        <v>19715.185000000001</v>
      </c>
      <c r="AB47" s="520">
        <v>622.79899999999998</v>
      </c>
      <c r="AC47" s="520">
        <v>11231359.308</v>
      </c>
      <c r="AD47" s="520">
        <v>0.63900000000000001</v>
      </c>
      <c r="AE47" s="520">
        <v>0.02</v>
      </c>
      <c r="AF47" s="520">
        <v>364.16199999999998</v>
      </c>
      <c r="AG47" s="520">
        <v>0.19800000000000001</v>
      </c>
      <c r="AH47" s="520">
        <v>0.19800000000000001</v>
      </c>
      <c r="AI47" s="520">
        <v>6.0000000000000001E-3</v>
      </c>
      <c r="AJ47" s="520">
        <v>113.02800000000001</v>
      </c>
      <c r="AK47" s="520">
        <v>1.5940000000000001</v>
      </c>
      <c r="AL47" s="520">
        <v>6.0000000000000001E-3</v>
      </c>
      <c r="AM47" s="520">
        <v>956.36400000000003</v>
      </c>
      <c r="AN47" s="520">
        <v>0.19700000000000001</v>
      </c>
      <c r="AO47" s="520">
        <v>1E-3</v>
      </c>
      <c r="AP47" s="520">
        <v>118.405</v>
      </c>
      <c r="AQ47" s="520">
        <v>0</v>
      </c>
      <c r="AR47" s="520">
        <v>195.02</v>
      </c>
      <c r="AS47" s="520">
        <v>23384819.657000002</v>
      </c>
      <c r="AT47" s="520">
        <v>26841.728999999999</v>
      </c>
      <c r="AU47" s="520">
        <v>0</v>
      </c>
      <c r="AV47" s="520">
        <v>0</v>
      </c>
      <c r="AW47" s="520">
        <v>0.379</v>
      </c>
      <c r="AX47" s="520">
        <v>0</v>
      </c>
      <c r="AY47" s="520">
        <v>0.39500000000000002</v>
      </c>
      <c r="AZ47" s="517">
        <f t="shared" si="5"/>
        <v>3221.8683848321298</v>
      </c>
      <c r="BA47" s="518">
        <f t="shared" si="6"/>
        <v>8488.6679098658751</v>
      </c>
      <c r="BY47" s="117" t="str">
        <f t="shared" si="9"/>
        <v>PA</v>
      </c>
      <c r="BZ47" s="118">
        <f t="shared" si="10"/>
        <v>645.77300000000002</v>
      </c>
      <c r="CA47" s="118">
        <f t="shared" si="11"/>
        <v>0.22900000000000001</v>
      </c>
      <c r="CB47" s="118">
        <f t="shared" si="12"/>
        <v>0.20499999999999999</v>
      </c>
      <c r="CC47" s="119">
        <f t="shared" si="13"/>
        <v>5078.8732985919842</v>
      </c>
      <c r="CD47" s="99"/>
      <c r="CR47" s="100" t="s">
        <v>172</v>
      </c>
      <c r="CS47" s="104" t="s">
        <v>173</v>
      </c>
      <c r="CW47" s="104" t="s">
        <v>170</v>
      </c>
      <c r="CX47" s="104" t="s">
        <v>170</v>
      </c>
    </row>
    <row r="48" spans="2:104" ht="15" customHeight="1" x14ac:dyDescent="0.25">
      <c r="B48" s="53"/>
      <c r="C48" s="158" t="s">
        <v>934</v>
      </c>
      <c r="D48" s="152"/>
      <c r="E48" s="572"/>
      <c r="F48" s="54"/>
      <c r="G48" s="154">
        <f>E117</f>
        <v>10.281449733364269</v>
      </c>
      <c r="H48" s="154"/>
      <c r="I48" s="154">
        <f>I117</f>
        <v>0</v>
      </c>
      <c r="J48" s="154"/>
      <c r="K48" s="154">
        <f>K117</f>
        <v>0</v>
      </c>
      <c r="L48" s="154"/>
      <c r="M48" s="154">
        <f>M117</f>
        <v>0</v>
      </c>
      <c r="N48" s="154"/>
      <c r="O48" s="154">
        <f>O117</f>
        <v>0</v>
      </c>
      <c r="P48" s="154"/>
      <c r="Q48" s="154">
        <f>Q117</f>
        <v>0</v>
      </c>
      <c r="R48" s="154"/>
      <c r="S48" s="155">
        <f>S117</f>
        <v>0</v>
      </c>
      <c r="T48" s="56"/>
      <c r="V48" s="519">
        <v>39</v>
      </c>
      <c r="W48" s="457" t="s">
        <v>173</v>
      </c>
      <c r="X48" s="520">
        <v>53762</v>
      </c>
      <c r="Y48" s="520">
        <v>1198169953.461</v>
      </c>
      <c r="Z48" s="520">
        <v>235912550.48500001</v>
      </c>
      <c r="AA48" s="520">
        <v>24158.065999999999</v>
      </c>
      <c r="AB48" s="520">
        <v>26965.077000000001</v>
      </c>
      <c r="AC48" s="520">
        <v>76172924.030000001</v>
      </c>
      <c r="AD48" s="520">
        <v>0.20499999999999999</v>
      </c>
      <c r="AE48" s="520">
        <v>0.22900000000000001</v>
      </c>
      <c r="AF48" s="520">
        <v>645.77300000000002</v>
      </c>
      <c r="AG48" s="520">
        <v>0.04</v>
      </c>
      <c r="AH48" s="520">
        <v>3.7999999999999999E-2</v>
      </c>
      <c r="AI48" s="520">
        <v>4.4999999999999998E-2</v>
      </c>
      <c r="AJ48" s="520">
        <v>127.149</v>
      </c>
      <c r="AK48" s="520">
        <v>0.27100000000000002</v>
      </c>
      <c r="AL48" s="520">
        <v>0.315</v>
      </c>
      <c r="AM48" s="520">
        <v>979.62599999999998</v>
      </c>
      <c r="AN48" s="520">
        <v>3.5999999999999997E-2</v>
      </c>
      <c r="AO48" s="520">
        <v>4.1000000000000002E-2</v>
      </c>
      <c r="AP48" s="520">
        <v>128.72499999999999</v>
      </c>
      <c r="AQ48" s="520">
        <v>12834827.965</v>
      </c>
      <c r="AR48" s="520">
        <v>48121.495000000003</v>
      </c>
      <c r="AS48" s="520">
        <v>139252157.19</v>
      </c>
      <c r="AT48" s="520">
        <v>1472335.62</v>
      </c>
      <c r="AU48" s="520">
        <v>5.3999999999999999E-2</v>
      </c>
      <c r="AV48" s="520">
        <v>0</v>
      </c>
      <c r="AW48" s="520">
        <v>0.59</v>
      </c>
      <c r="AX48" s="520">
        <v>6.0000000000000001E-3</v>
      </c>
      <c r="AY48" s="520">
        <v>0.65800000000000003</v>
      </c>
      <c r="AZ48" s="517">
        <f t="shared" si="5"/>
        <v>5078.8732985919842</v>
      </c>
      <c r="BA48" s="518">
        <f t="shared" si="6"/>
        <v>7800.2076966749028</v>
      </c>
      <c r="BY48" s="117" t="str">
        <f t="shared" si="9"/>
        <v>RI</v>
      </c>
      <c r="BZ48" s="118">
        <f t="shared" si="10"/>
        <v>839.13599999999997</v>
      </c>
      <c r="CA48" s="118">
        <f t="shared" si="11"/>
        <v>1.2999999999999999E-2</v>
      </c>
      <c r="CB48" s="118">
        <f t="shared" si="12"/>
        <v>0.372</v>
      </c>
      <c r="CC48" s="119">
        <f t="shared" si="13"/>
        <v>7285.8974597716651</v>
      </c>
      <c r="CD48" s="99"/>
      <c r="CR48" s="100" t="s">
        <v>174</v>
      </c>
      <c r="CS48" s="104" t="s">
        <v>175</v>
      </c>
      <c r="CW48" s="104" t="s">
        <v>172</v>
      </c>
      <c r="CX48" s="104" t="s">
        <v>172</v>
      </c>
    </row>
    <row r="49" spans="2:102" ht="15" customHeight="1" x14ac:dyDescent="0.25">
      <c r="B49" s="53"/>
      <c r="C49" s="158" t="s">
        <v>597</v>
      </c>
      <c r="D49" s="152"/>
      <c r="E49" s="572"/>
      <c r="F49" s="54"/>
      <c r="G49" s="154">
        <f>E121</f>
        <v>0</v>
      </c>
      <c r="H49" s="154"/>
      <c r="I49" s="154">
        <f>I121</f>
        <v>11.777151710377476</v>
      </c>
      <c r="J49" s="154"/>
      <c r="K49" s="154">
        <f>K121</f>
        <v>0</v>
      </c>
      <c r="L49" s="154"/>
      <c r="M49" s="154">
        <f>M121</f>
        <v>0</v>
      </c>
      <c r="N49" s="154"/>
      <c r="O49" s="154">
        <f>O121</f>
        <v>0</v>
      </c>
      <c r="P49" s="154"/>
      <c r="Q49" s="154">
        <f>Q121</f>
        <v>0</v>
      </c>
      <c r="R49" s="154"/>
      <c r="S49" s="155">
        <f>S121</f>
        <v>0</v>
      </c>
      <c r="T49" s="56"/>
      <c r="V49" s="519">
        <v>40</v>
      </c>
      <c r="W49" s="457" t="s">
        <v>175</v>
      </c>
      <c r="X49" s="520">
        <v>2472.6</v>
      </c>
      <c r="Y49" s="520">
        <v>75893937.392000005</v>
      </c>
      <c r="Z49" s="520">
        <v>10416553.048</v>
      </c>
      <c r="AA49" s="520">
        <v>1939.3219999999999</v>
      </c>
      <c r="AB49" s="520">
        <v>65.275999999999996</v>
      </c>
      <c r="AC49" s="520">
        <v>4370451.4419999998</v>
      </c>
      <c r="AD49" s="520">
        <v>0.372</v>
      </c>
      <c r="AE49" s="520">
        <v>1.2999999999999999E-2</v>
      </c>
      <c r="AF49" s="520">
        <v>839.13599999999997</v>
      </c>
      <c r="AG49" s="520">
        <v>5.0999999999999997E-2</v>
      </c>
      <c r="AH49" s="520">
        <v>5.1999999999999998E-2</v>
      </c>
      <c r="AI49" s="520">
        <v>2E-3</v>
      </c>
      <c r="AJ49" s="520">
        <v>115.173</v>
      </c>
      <c r="AK49" s="520">
        <v>0.40500000000000003</v>
      </c>
      <c r="AL49" s="520">
        <v>5.0000000000000001E-3</v>
      </c>
      <c r="AM49" s="520">
        <v>912.80200000000002</v>
      </c>
      <c r="AN49" s="520">
        <v>5.2999999999999999E-2</v>
      </c>
      <c r="AO49" s="520">
        <v>1E-3</v>
      </c>
      <c r="AP49" s="520">
        <v>118.916</v>
      </c>
      <c r="AQ49" s="520">
        <v>0</v>
      </c>
      <c r="AR49" s="520">
        <v>30248.519</v>
      </c>
      <c r="AS49" s="520">
        <v>9545650.7249999996</v>
      </c>
      <c r="AT49" s="520">
        <v>0</v>
      </c>
      <c r="AU49" s="520">
        <v>0</v>
      </c>
      <c r="AV49" s="520">
        <v>3.0000000000000001E-3</v>
      </c>
      <c r="AW49" s="520">
        <v>0.91600000000000004</v>
      </c>
      <c r="AX49" s="520">
        <v>0</v>
      </c>
      <c r="AY49" s="520">
        <v>0.94199999999999995</v>
      </c>
      <c r="AZ49" s="517">
        <f t="shared" si="5"/>
        <v>7285.8974597716651</v>
      </c>
      <c r="BA49" s="518">
        <f t="shared" si="6"/>
        <v>7925.5154485416188</v>
      </c>
      <c r="BY49" s="117" t="str">
        <f t="shared" si="9"/>
        <v>SC</v>
      </c>
      <c r="BZ49" s="118">
        <f t="shared" si="10"/>
        <v>557.173</v>
      </c>
      <c r="CA49" s="118">
        <f t="shared" si="11"/>
        <v>0.17100000000000001</v>
      </c>
      <c r="CB49" s="118">
        <f t="shared" si="12"/>
        <v>0.23799999999999999</v>
      </c>
      <c r="CC49" s="119">
        <f t="shared" si="13"/>
        <v>3647.4376479792882</v>
      </c>
      <c r="CD49" s="99"/>
      <c r="CR49" s="100" t="s">
        <v>176</v>
      </c>
      <c r="CS49" s="104" t="s">
        <v>177</v>
      </c>
      <c r="CW49" s="104" t="s">
        <v>174</v>
      </c>
      <c r="CX49" s="104" t="s">
        <v>174</v>
      </c>
    </row>
    <row r="50" spans="2:102" ht="15" customHeight="1" x14ac:dyDescent="0.25">
      <c r="B50" s="53"/>
      <c r="C50" s="158" t="s">
        <v>65</v>
      </c>
      <c r="D50" s="152"/>
      <c r="E50" s="572"/>
      <c r="F50" s="54"/>
      <c r="G50" s="154">
        <f>E125</f>
        <v>0</v>
      </c>
      <c r="H50" s="154"/>
      <c r="I50" s="154">
        <f>I125</f>
        <v>0</v>
      </c>
      <c r="J50" s="154"/>
      <c r="K50" s="154">
        <f>K125</f>
        <v>0</v>
      </c>
      <c r="L50" s="154"/>
      <c r="M50" s="154">
        <f>M125</f>
        <v>0</v>
      </c>
      <c r="N50" s="154"/>
      <c r="O50" s="154">
        <f>O125</f>
        <v>0</v>
      </c>
      <c r="P50" s="154"/>
      <c r="Q50" s="154">
        <f>Q125</f>
        <v>0</v>
      </c>
      <c r="R50" s="154"/>
      <c r="S50" s="155">
        <f>S125</f>
        <v>0</v>
      </c>
      <c r="T50" s="56"/>
      <c r="V50" s="519">
        <v>41</v>
      </c>
      <c r="W50" s="457" t="s">
        <v>177</v>
      </c>
      <c r="X50" s="520">
        <v>26563.599999999999</v>
      </c>
      <c r="Y50" s="520">
        <v>367856442.12900001</v>
      </c>
      <c r="Z50" s="520">
        <v>100853387.40000001</v>
      </c>
      <c r="AA50" s="520">
        <v>12004.016</v>
      </c>
      <c r="AB50" s="520">
        <v>8624.6080000000002</v>
      </c>
      <c r="AC50" s="520">
        <v>28096403.535999998</v>
      </c>
      <c r="AD50" s="520">
        <v>0.23799999999999999</v>
      </c>
      <c r="AE50" s="520">
        <v>0.17100000000000001</v>
      </c>
      <c r="AF50" s="520">
        <v>557.173</v>
      </c>
      <c r="AG50" s="520">
        <v>6.5000000000000002E-2</v>
      </c>
      <c r="AH50" s="520">
        <v>6.7000000000000004E-2</v>
      </c>
      <c r="AI50" s="520">
        <v>4.7E-2</v>
      </c>
      <c r="AJ50" s="520">
        <v>152.75700000000001</v>
      </c>
      <c r="AK50" s="520">
        <v>0.56299999999999994</v>
      </c>
      <c r="AL50" s="520">
        <v>0.38400000000000001</v>
      </c>
      <c r="AM50" s="520">
        <v>1444.126</v>
      </c>
      <c r="AN50" s="520">
        <v>6.2E-2</v>
      </c>
      <c r="AO50" s="520">
        <v>4.2000000000000003E-2</v>
      </c>
      <c r="AP50" s="520">
        <v>158.667</v>
      </c>
      <c r="AQ50" s="520">
        <v>15150420.790999999</v>
      </c>
      <c r="AR50" s="520">
        <v>96064.084000000003</v>
      </c>
      <c r="AS50" s="520">
        <v>23691443.866999999</v>
      </c>
      <c r="AT50" s="520">
        <v>44685.38</v>
      </c>
      <c r="AU50" s="520">
        <v>0.15</v>
      </c>
      <c r="AV50" s="520">
        <v>1E-3</v>
      </c>
      <c r="AW50" s="520">
        <v>0.23499999999999999</v>
      </c>
      <c r="AX50" s="520">
        <v>0</v>
      </c>
      <c r="AY50" s="520">
        <v>0.40400000000000003</v>
      </c>
      <c r="AZ50" s="517">
        <f t="shared" si="5"/>
        <v>3647.4376479792882</v>
      </c>
      <c r="BA50" s="518">
        <f t="shared" si="6"/>
        <v>9436.423144372935</v>
      </c>
      <c r="BY50" s="117" t="str">
        <f t="shared" si="9"/>
        <v>SD</v>
      </c>
      <c r="BZ50" s="118">
        <f t="shared" si="10"/>
        <v>334.03199999999998</v>
      </c>
      <c r="CA50" s="118">
        <f t="shared" si="11"/>
        <v>7.5999999999999998E-2</v>
      </c>
      <c r="CB50" s="118">
        <f t="shared" si="12"/>
        <v>0.25</v>
      </c>
      <c r="CC50" s="119">
        <f t="shared" si="13"/>
        <v>2086.6436835943832</v>
      </c>
      <c r="CD50" s="99"/>
      <c r="CR50" s="100" t="s">
        <v>178</v>
      </c>
      <c r="CS50" s="104" t="s">
        <v>179</v>
      </c>
      <c r="CW50" s="104" t="s">
        <v>176</v>
      </c>
      <c r="CX50" s="104" t="s">
        <v>176</v>
      </c>
    </row>
    <row r="51" spans="2:102" ht="15" customHeight="1" x14ac:dyDescent="0.25">
      <c r="B51" s="53"/>
      <c r="C51" s="158" t="s">
        <v>930</v>
      </c>
      <c r="D51" s="152"/>
      <c r="E51" s="572"/>
      <c r="F51" s="54"/>
      <c r="G51" s="154">
        <f>E129</f>
        <v>0</v>
      </c>
      <c r="H51" s="154"/>
      <c r="I51" s="154">
        <f>I129</f>
        <v>0</v>
      </c>
      <c r="J51" s="154"/>
      <c r="K51" s="154">
        <f>K129</f>
        <v>0</v>
      </c>
      <c r="L51" s="154"/>
      <c r="M51" s="154">
        <f>M129</f>
        <v>0</v>
      </c>
      <c r="N51" s="154"/>
      <c r="O51" s="154">
        <f>O129</f>
        <v>0</v>
      </c>
      <c r="P51" s="154"/>
      <c r="Q51" s="154">
        <f>Q129</f>
        <v>0</v>
      </c>
      <c r="R51" s="154"/>
      <c r="S51" s="155">
        <f>S129</f>
        <v>0</v>
      </c>
      <c r="T51" s="56"/>
      <c r="V51" s="519">
        <v>42</v>
      </c>
      <c r="W51" s="457" t="s">
        <v>179</v>
      </c>
      <c r="X51" s="520">
        <v>7235.5</v>
      </c>
      <c r="Y51" s="520">
        <v>36320110.620999999</v>
      </c>
      <c r="Z51" s="520">
        <v>17405995.526000001</v>
      </c>
      <c r="AA51" s="520">
        <v>2173.5680000000002</v>
      </c>
      <c r="AB51" s="520">
        <v>660.09500000000003</v>
      </c>
      <c r="AC51" s="520">
        <v>2907080.4679999999</v>
      </c>
      <c r="AD51" s="520">
        <v>0.25</v>
      </c>
      <c r="AE51" s="520">
        <v>7.5999999999999998E-2</v>
      </c>
      <c r="AF51" s="520">
        <v>334.03199999999998</v>
      </c>
      <c r="AG51" s="520">
        <v>0.12</v>
      </c>
      <c r="AH51" s="520">
        <v>0.11899999999999999</v>
      </c>
      <c r="AI51" s="520">
        <v>3.5999999999999997E-2</v>
      </c>
      <c r="AJ51" s="520">
        <v>160.08099999999999</v>
      </c>
      <c r="AK51" s="520">
        <v>1.169</v>
      </c>
      <c r="AL51" s="520">
        <v>0.35499999999999998</v>
      </c>
      <c r="AM51" s="520">
        <v>1563.701</v>
      </c>
      <c r="AN51" s="520">
        <v>0.12</v>
      </c>
      <c r="AO51" s="520">
        <v>3.5999999999999997E-2</v>
      </c>
      <c r="AP51" s="520">
        <v>160.08099999999999</v>
      </c>
      <c r="AQ51" s="520">
        <v>1562742.1</v>
      </c>
      <c r="AR51" s="520">
        <v>23041.409</v>
      </c>
      <c r="AS51" s="520">
        <v>2115780.2510000002</v>
      </c>
      <c r="AT51" s="520">
        <v>0</v>
      </c>
      <c r="AU51" s="520">
        <v>0.09</v>
      </c>
      <c r="AV51" s="520">
        <v>1E-3</v>
      </c>
      <c r="AW51" s="520">
        <v>0.122</v>
      </c>
      <c r="AX51" s="520">
        <v>0</v>
      </c>
      <c r="AY51" s="520">
        <v>0.214</v>
      </c>
      <c r="AZ51" s="517">
        <f t="shared" si="5"/>
        <v>2086.6436835943832</v>
      </c>
      <c r="BA51" s="518">
        <f t="shared" si="6"/>
        <v>9812.0991494146238</v>
      </c>
      <c r="BY51" s="117" t="str">
        <f t="shared" si="9"/>
        <v>TN</v>
      </c>
      <c r="BZ51" s="118">
        <f t="shared" si="10"/>
        <v>657.26700000000005</v>
      </c>
      <c r="CA51" s="118">
        <f t="shared" si="11"/>
        <v>0.21299999999999999</v>
      </c>
      <c r="CB51" s="118">
        <f t="shared" si="12"/>
        <v>0.23699999999999999</v>
      </c>
      <c r="CC51" s="119">
        <f t="shared" si="13"/>
        <v>3902.3024090339727</v>
      </c>
      <c r="CD51" s="99"/>
      <c r="CR51" s="100" t="s">
        <v>180</v>
      </c>
      <c r="CS51" s="104" t="s">
        <v>181</v>
      </c>
      <c r="CW51" s="104" t="s">
        <v>178</v>
      </c>
      <c r="CX51" s="104" t="s">
        <v>178</v>
      </c>
    </row>
    <row r="52" spans="2:102" ht="15" customHeight="1" x14ac:dyDescent="0.35">
      <c r="B52" s="53"/>
      <c r="C52" s="171" t="s">
        <v>939</v>
      </c>
      <c r="D52" s="172"/>
      <c r="E52" s="573"/>
      <c r="F52" s="54"/>
      <c r="G52" s="173">
        <f>E132</f>
        <v>10.281449733364269</v>
      </c>
      <c r="H52" s="173"/>
      <c r="I52" s="173">
        <f>I132</f>
        <v>11.777151710377476</v>
      </c>
      <c r="J52" s="173"/>
      <c r="K52" s="173">
        <f>K132</f>
        <v>0</v>
      </c>
      <c r="L52" s="173"/>
      <c r="M52" s="173">
        <f>M132</f>
        <v>0</v>
      </c>
      <c r="N52" s="173"/>
      <c r="O52" s="173">
        <f>O132</f>
        <v>0</v>
      </c>
      <c r="P52" s="173"/>
      <c r="Q52" s="173">
        <f>Q132</f>
        <v>0</v>
      </c>
      <c r="R52" s="173"/>
      <c r="S52" s="174">
        <f>S132</f>
        <v>0</v>
      </c>
      <c r="T52" s="56"/>
      <c r="V52" s="519">
        <v>43</v>
      </c>
      <c r="W52" s="457" t="s">
        <v>181</v>
      </c>
      <c r="X52" s="520">
        <v>24375.1</v>
      </c>
      <c r="Y52" s="520">
        <v>303419648.07499999</v>
      </c>
      <c r="Z52" s="520">
        <v>77754006.806999996</v>
      </c>
      <c r="AA52" s="520">
        <v>9225.5480000000007</v>
      </c>
      <c r="AB52" s="520">
        <v>8285.4419999999991</v>
      </c>
      <c r="AC52" s="520">
        <v>25552566.613000002</v>
      </c>
      <c r="AD52" s="520">
        <v>0.23699999999999999</v>
      </c>
      <c r="AE52" s="520">
        <v>0.21299999999999999</v>
      </c>
      <c r="AF52" s="520">
        <v>657.26700000000005</v>
      </c>
      <c r="AG52" s="520">
        <v>6.0999999999999999E-2</v>
      </c>
      <c r="AH52" s="520">
        <v>5.8000000000000003E-2</v>
      </c>
      <c r="AI52" s="520">
        <v>5.5E-2</v>
      </c>
      <c r="AJ52" s="520">
        <v>168.43100000000001</v>
      </c>
      <c r="AK52" s="520">
        <v>0.55500000000000005</v>
      </c>
      <c r="AL52" s="520">
        <v>0.52400000000000002</v>
      </c>
      <c r="AM52" s="520">
        <v>1704.73</v>
      </c>
      <c r="AN52" s="520">
        <v>5.6000000000000001E-2</v>
      </c>
      <c r="AO52" s="520">
        <v>5.2999999999999999E-2</v>
      </c>
      <c r="AP52" s="520">
        <v>172.935</v>
      </c>
      <c r="AQ52" s="520">
        <v>15792908.671</v>
      </c>
      <c r="AR52" s="520">
        <v>101670.94500000001</v>
      </c>
      <c r="AS52" s="520">
        <v>14993149.636</v>
      </c>
      <c r="AT52" s="520">
        <v>10846.629000000001</v>
      </c>
      <c r="AU52" s="520">
        <v>0.20300000000000001</v>
      </c>
      <c r="AV52" s="520">
        <v>1E-3</v>
      </c>
      <c r="AW52" s="520">
        <v>0.193</v>
      </c>
      <c r="AX52" s="520">
        <v>0</v>
      </c>
      <c r="AY52" s="520">
        <v>0.40300000000000002</v>
      </c>
      <c r="AZ52" s="517">
        <f t="shared" si="5"/>
        <v>3902.3024090339727</v>
      </c>
      <c r="BA52" s="518">
        <f t="shared" si="6"/>
        <v>9819.8586641521324</v>
      </c>
      <c r="BY52" s="117" t="str">
        <f t="shared" si="9"/>
        <v>TX</v>
      </c>
      <c r="BZ52" s="118">
        <f t="shared" si="10"/>
        <v>768.31700000000001</v>
      </c>
      <c r="CA52" s="118">
        <f t="shared" si="11"/>
        <v>0.38900000000000001</v>
      </c>
      <c r="CB52" s="118">
        <f t="shared" si="12"/>
        <v>0.47599999999999998</v>
      </c>
      <c r="CC52" s="119">
        <f t="shared" si="13"/>
        <v>5376.1736583265019</v>
      </c>
      <c r="CD52" s="99"/>
      <c r="CR52" s="100" t="s">
        <v>182</v>
      </c>
      <c r="CS52" s="104" t="s">
        <v>183</v>
      </c>
      <c r="CW52" s="104" t="s">
        <v>180</v>
      </c>
      <c r="CX52" s="104" t="s">
        <v>180</v>
      </c>
    </row>
    <row r="53" spans="2:102" ht="15" customHeight="1" x14ac:dyDescent="0.25">
      <c r="B53" s="53"/>
      <c r="C53" s="145" t="s">
        <v>940</v>
      </c>
      <c r="D53" s="146"/>
      <c r="E53" s="148"/>
      <c r="F53" s="148"/>
      <c r="G53" s="166"/>
      <c r="H53" s="166"/>
      <c r="I53" s="148"/>
      <c r="J53" s="148"/>
      <c r="K53" s="148"/>
      <c r="L53" s="148"/>
      <c r="M53" s="148"/>
      <c r="N53" s="148"/>
      <c r="O53" s="148"/>
      <c r="P53" s="148"/>
      <c r="Q53" s="148"/>
      <c r="R53" s="148"/>
      <c r="S53" s="167"/>
      <c r="T53" s="56"/>
      <c r="V53" s="519">
        <v>44</v>
      </c>
      <c r="W53" s="457" t="s">
        <v>183</v>
      </c>
      <c r="X53" s="520">
        <v>166741.20000000001</v>
      </c>
      <c r="Y53" s="520">
        <v>2924846243.1560001</v>
      </c>
      <c r="Z53" s="520">
        <v>544038647.00800002</v>
      </c>
      <c r="AA53" s="520">
        <v>129439.519</v>
      </c>
      <c r="AB53" s="520">
        <v>105797.409</v>
      </c>
      <c r="AC53" s="520">
        <v>208997061.398</v>
      </c>
      <c r="AD53" s="520">
        <v>0.47599999999999998</v>
      </c>
      <c r="AE53" s="520">
        <v>0.38900000000000001</v>
      </c>
      <c r="AF53" s="520">
        <v>768.31700000000001</v>
      </c>
      <c r="AG53" s="520">
        <v>8.8999999999999996E-2</v>
      </c>
      <c r="AH53" s="520">
        <v>8.7999999999999995E-2</v>
      </c>
      <c r="AI53" s="520">
        <v>7.1999999999999995E-2</v>
      </c>
      <c r="AJ53" s="520">
        <v>142.911</v>
      </c>
      <c r="AK53" s="520">
        <v>0.73</v>
      </c>
      <c r="AL53" s="520">
        <v>0.59899999999999998</v>
      </c>
      <c r="AM53" s="520">
        <v>1186.826</v>
      </c>
      <c r="AN53" s="520">
        <v>8.7999999999999995E-2</v>
      </c>
      <c r="AO53" s="520">
        <v>7.2999999999999995E-2</v>
      </c>
      <c r="AP53" s="520">
        <v>143.63399999999999</v>
      </c>
      <c r="AQ53" s="520">
        <v>70692781.819999993</v>
      </c>
      <c r="AR53" s="520">
        <v>232193.33900000001</v>
      </c>
      <c r="AS53" s="520">
        <v>281027742.97899997</v>
      </c>
      <c r="AT53" s="520">
        <v>2329379.1510000001</v>
      </c>
      <c r="AU53" s="520">
        <v>0.13</v>
      </c>
      <c r="AV53" s="520">
        <v>0</v>
      </c>
      <c r="AW53" s="520">
        <v>0.51700000000000002</v>
      </c>
      <c r="AX53" s="520">
        <v>4.0000000000000001E-3</v>
      </c>
      <c r="AY53" s="520">
        <v>0.65400000000000003</v>
      </c>
      <c r="AZ53" s="517">
        <f t="shared" si="5"/>
        <v>5376.1736583265019</v>
      </c>
      <c r="BA53" s="518">
        <f t="shared" si="6"/>
        <v>8255.6986806197638</v>
      </c>
      <c r="BY53" s="117" t="str">
        <f t="shared" si="9"/>
        <v>UT</v>
      </c>
      <c r="BZ53" s="118">
        <f t="shared" si="10"/>
        <v>1413.019</v>
      </c>
      <c r="CA53" s="118">
        <f t="shared" si="11"/>
        <v>0.27500000000000002</v>
      </c>
      <c r="CB53" s="118">
        <f t="shared" si="12"/>
        <v>1.282</v>
      </c>
      <c r="CC53" s="119">
        <f t="shared" si="13"/>
        <v>8106.1423926717443</v>
      </c>
      <c r="CD53" s="99"/>
      <c r="CR53" s="100" t="s">
        <v>184</v>
      </c>
      <c r="CS53" s="104" t="s">
        <v>185</v>
      </c>
      <c r="CW53" s="104" t="s">
        <v>182</v>
      </c>
      <c r="CX53" s="104" t="s">
        <v>182</v>
      </c>
    </row>
    <row r="54" spans="2:102" ht="15" customHeight="1" x14ac:dyDescent="0.35">
      <c r="B54" s="53"/>
      <c r="C54" s="158" t="s">
        <v>941</v>
      </c>
      <c r="D54" s="152"/>
      <c r="E54" s="572" t="s">
        <v>933</v>
      </c>
      <c r="F54" s="54"/>
      <c r="G54" s="157" t="s">
        <v>872</v>
      </c>
      <c r="H54" s="157"/>
      <c r="I54" s="175">
        <f>I133</f>
        <v>7168.2781160543964</v>
      </c>
      <c r="J54" s="175"/>
      <c r="K54" s="175">
        <f>K133</f>
        <v>0</v>
      </c>
      <c r="L54" s="175"/>
      <c r="M54" s="175">
        <f>M133</f>
        <v>0</v>
      </c>
      <c r="N54" s="175"/>
      <c r="O54" s="175">
        <f>O133</f>
        <v>0</v>
      </c>
      <c r="P54" s="175"/>
      <c r="Q54" s="175">
        <f>Q133</f>
        <v>0</v>
      </c>
      <c r="R54" s="175"/>
      <c r="S54" s="176">
        <f>S133</f>
        <v>0</v>
      </c>
      <c r="T54" s="56"/>
      <c r="V54" s="519">
        <v>45</v>
      </c>
      <c r="W54" s="457" t="s">
        <v>185</v>
      </c>
      <c r="X54" s="520">
        <v>10132.4</v>
      </c>
      <c r="Y54" s="520">
        <v>265795869.92399999</v>
      </c>
      <c r="Z54" s="520">
        <v>32789440.037999999</v>
      </c>
      <c r="AA54" s="520">
        <v>21019.628000000001</v>
      </c>
      <c r="AB54" s="520">
        <v>4515.8440000000001</v>
      </c>
      <c r="AC54" s="520">
        <v>23166056.111000001</v>
      </c>
      <c r="AD54" s="520">
        <v>1.282</v>
      </c>
      <c r="AE54" s="520">
        <v>0.27500000000000002</v>
      </c>
      <c r="AF54" s="520">
        <v>1413.019</v>
      </c>
      <c r="AG54" s="520">
        <v>0.158</v>
      </c>
      <c r="AH54" s="520">
        <v>0.14899999999999999</v>
      </c>
      <c r="AI54" s="520">
        <v>3.4000000000000002E-2</v>
      </c>
      <c r="AJ54" s="520">
        <v>174.315</v>
      </c>
      <c r="AK54" s="520">
        <v>1.57</v>
      </c>
      <c r="AL54" s="520">
        <v>0.33600000000000002</v>
      </c>
      <c r="AM54" s="520">
        <v>1730.799</v>
      </c>
      <c r="AN54" s="520">
        <v>0.159</v>
      </c>
      <c r="AO54" s="520">
        <v>3.4000000000000002E-2</v>
      </c>
      <c r="AP54" s="520">
        <v>175.023</v>
      </c>
      <c r="AQ54" s="520">
        <v>14894151.646</v>
      </c>
      <c r="AR54" s="520">
        <v>28250.181</v>
      </c>
      <c r="AS54" s="520">
        <v>11834246.622</v>
      </c>
      <c r="AT54" s="520">
        <v>2746.502</v>
      </c>
      <c r="AU54" s="520">
        <v>0.45400000000000001</v>
      </c>
      <c r="AV54" s="520">
        <v>1E-3</v>
      </c>
      <c r="AW54" s="520">
        <v>0.36099999999999999</v>
      </c>
      <c r="AX54" s="520">
        <v>0</v>
      </c>
      <c r="AY54" s="520">
        <v>0.81899999999999995</v>
      </c>
      <c r="AZ54" s="517">
        <f t="shared" si="5"/>
        <v>8106.1423926717443</v>
      </c>
      <c r="BA54" s="518">
        <f t="shared" si="6"/>
        <v>9932.8056710814071</v>
      </c>
      <c r="BY54" s="117" t="str">
        <f t="shared" si="9"/>
        <v>VA</v>
      </c>
      <c r="BZ54" s="118">
        <f t="shared" si="10"/>
        <v>536.851</v>
      </c>
      <c r="CA54" s="118">
        <f t="shared" si="11"/>
        <v>7.0999999999999994E-2</v>
      </c>
      <c r="CB54" s="118">
        <f t="shared" si="12"/>
        <v>0.17499999999999999</v>
      </c>
      <c r="CC54" s="119">
        <f t="shared" si="13"/>
        <v>4795.8482861974953</v>
      </c>
      <c r="CD54" s="99"/>
      <c r="CR54" s="100" t="s">
        <v>186</v>
      </c>
      <c r="CS54" s="104" t="s">
        <v>187</v>
      </c>
      <c r="CW54" s="104" t="s">
        <v>184</v>
      </c>
      <c r="CX54" s="104" t="s">
        <v>184</v>
      </c>
    </row>
    <row r="55" spans="2:102" ht="15" customHeight="1" x14ac:dyDescent="0.25">
      <c r="B55" s="53"/>
      <c r="C55" s="158"/>
      <c r="D55" s="152"/>
      <c r="E55" s="572"/>
      <c r="F55" s="54"/>
      <c r="G55" s="157"/>
      <c r="H55" s="157"/>
      <c r="I55" s="177">
        <f>I54/$G40</f>
        <v>0.38969654761118167</v>
      </c>
      <c r="J55" s="177"/>
      <c r="K55" s="177">
        <f>K54/$G40</f>
        <v>0</v>
      </c>
      <c r="L55" s="157"/>
      <c r="M55" s="177">
        <f>M54/$G40</f>
        <v>0</v>
      </c>
      <c r="N55" s="157"/>
      <c r="O55" s="177">
        <f>O54/$G40</f>
        <v>0</v>
      </c>
      <c r="P55" s="157"/>
      <c r="Q55" s="177">
        <f>Q54/$G40</f>
        <v>0</v>
      </c>
      <c r="R55" s="157"/>
      <c r="S55" s="178">
        <f>S54/$G40</f>
        <v>0</v>
      </c>
      <c r="T55" s="56"/>
      <c r="V55" s="519">
        <v>46</v>
      </c>
      <c r="W55" s="457" t="s">
        <v>187</v>
      </c>
      <c r="X55" s="520">
        <v>31740.2</v>
      </c>
      <c r="Y55" s="520">
        <v>436537790.47100002</v>
      </c>
      <c r="Z55" s="520">
        <v>91024103.437000006</v>
      </c>
      <c r="AA55" s="520">
        <v>7981.91</v>
      </c>
      <c r="AB55" s="520">
        <v>3211.614</v>
      </c>
      <c r="AC55" s="520">
        <v>24433203.526000001</v>
      </c>
      <c r="AD55" s="520">
        <v>0.17499999999999999</v>
      </c>
      <c r="AE55" s="520">
        <v>7.0999999999999994E-2</v>
      </c>
      <c r="AF55" s="520">
        <v>536.851</v>
      </c>
      <c r="AG55" s="520">
        <v>3.6999999999999998E-2</v>
      </c>
      <c r="AH55" s="520">
        <v>3.9E-2</v>
      </c>
      <c r="AI55" s="520">
        <v>1.4999999999999999E-2</v>
      </c>
      <c r="AJ55" s="520">
        <v>111.941</v>
      </c>
      <c r="AK55" s="520">
        <v>0.214</v>
      </c>
      <c r="AL55" s="520">
        <v>4.3999999999999997E-2</v>
      </c>
      <c r="AM55" s="520">
        <v>897.95399999999995</v>
      </c>
      <c r="AN55" s="520">
        <v>2.9000000000000001E-2</v>
      </c>
      <c r="AO55" s="520">
        <v>6.0000000000000001E-3</v>
      </c>
      <c r="AP55" s="520">
        <v>120.294</v>
      </c>
      <c r="AQ55" s="520">
        <v>1415026.912</v>
      </c>
      <c r="AR55" s="520">
        <v>134545.48000000001</v>
      </c>
      <c r="AS55" s="520">
        <v>50604693.836999997</v>
      </c>
      <c r="AT55" s="520">
        <v>478300.49900000001</v>
      </c>
      <c r="AU55" s="520">
        <v>1.6E-2</v>
      </c>
      <c r="AV55" s="520">
        <v>1E-3</v>
      </c>
      <c r="AW55" s="520">
        <v>0.55600000000000005</v>
      </c>
      <c r="AX55" s="520">
        <v>5.0000000000000001E-3</v>
      </c>
      <c r="AY55" s="520">
        <v>0.61499999999999999</v>
      </c>
      <c r="AZ55" s="517">
        <f t="shared" si="5"/>
        <v>4795.8482861974953</v>
      </c>
      <c r="BA55" s="518">
        <f t="shared" si="6"/>
        <v>8294.0623573800822</v>
      </c>
      <c r="BY55" s="117" t="str">
        <f t="shared" si="9"/>
        <v>VT</v>
      </c>
      <c r="BZ55" s="118">
        <f t="shared" si="10"/>
        <v>42.981000000000002</v>
      </c>
      <c r="CA55" s="118">
        <f t="shared" si="11"/>
        <v>3.9E-2</v>
      </c>
      <c r="CB55" s="118">
        <f t="shared" si="12"/>
        <v>0.16800000000000001</v>
      </c>
      <c r="CC55" s="119">
        <f t="shared" si="13"/>
        <v>2529.4295941356672</v>
      </c>
      <c r="CD55" s="99"/>
      <c r="CR55" s="100" t="s">
        <v>188</v>
      </c>
      <c r="CS55" s="104" t="s">
        <v>189</v>
      </c>
      <c r="CW55" s="104" t="s">
        <v>186</v>
      </c>
      <c r="CX55" s="104" t="s">
        <v>186</v>
      </c>
    </row>
    <row r="56" spans="2:102" ht="15" customHeight="1" x14ac:dyDescent="0.35">
      <c r="B56" s="53"/>
      <c r="C56" s="158" t="s">
        <v>942</v>
      </c>
      <c r="D56" s="152"/>
      <c r="E56" s="572"/>
      <c r="F56" s="54"/>
      <c r="G56" s="157" t="s">
        <v>872</v>
      </c>
      <c r="H56" s="157"/>
      <c r="I56" s="157">
        <f>I134</f>
        <v>8.154547698373614</v>
      </c>
      <c r="J56" s="157"/>
      <c r="K56" s="157">
        <f>K134</f>
        <v>0</v>
      </c>
      <c r="L56" s="157"/>
      <c r="M56" s="157">
        <f>M134</f>
        <v>0</v>
      </c>
      <c r="N56" s="157"/>
      <c r="O56" s="157">
        <f>O134</f>
        <v>0</v>
      </c>
      <c r="P56" s="157"/>
      <c r="Q56" s="157">
        <f>Q134</f>
        <v>0</v>
      </c>
      <c r="R56" s="157"/>
      <c r="S56" s="179">
        <f>S134</f>
        <v>0</v>
      </c>
      <c r="T56" s="56"/>
      <c r="V56" s="519">
        <v>47</v>
      </c>
      <c r="W56" s="457" t="s">
        <v>189</v>
      </c>
      <c r="X56" s="520">
        <v>906.1</v>
      </c>
      <c r="Y56" s="520">
        <v>6273488.1100000003</v>
      </c>
      <c r="Z56" s="520">
        <v>2480198.747</v>
      </c>
      <c r="AA56" s="520">
        <v>208.49700000000001</v>
      </c>
      <c r="AB56" s="520">
        <v>48.197000000000003</v>
      </c>
      <c r="AC56" s="520">
        <v>53300.218999999997</v>
      </c>
      <c r="AD56" s="520">
        <v>0.16800000000000001</v>
      </c>
      <c r="AE56" s="520">
        <v>3.9E-2</v>
      </c>
      <c r="AF56" s="520">
        <v>42.981000000000002</v>
      </c>
      <c r="AG56" s="520">
        <v>6.6000000000000003E-2</v>
      </c>
      <c r="AH56" s="520">
        <v>6.5000000000000002E-2</v>
      </c>
      <c r="AI56" s="520">
        <v>1.4999999999999999E-2</v>
      </c>
      <c r="AJ56" s="520">
        <v>16.992000000000001</v>
      </c>
      <c r="AK56" s="520">
        <v>8.4540000000000006</v>
      </c>
      <c r="AL56" s="520">
        <v>4.9480000000000004</v>
      </c>
      <c r="AM56" s="520">
        <v>3308.1320000000001</v>
      </c>
      <c r="AN56" s="520">
        <v>0.41599999999999998</v>
      </c>
      <c r="AO56" s="520">
        <v>0.24299999999999999</v>
      </c>
      <c r="AP56" s="520">
        <v>162.59</v>
      </c>
      <c r="AQ56" s="520">
        <v>0</v>
      </c>
      <c r="AR56" s="520">
        <v>2610.6390000000001</v>
      </c>
      <c r="AS56" s="520">
        <v>1263.702</v>
      </c>
      <c r="AT56" s="520">
        <v>0</v>
      </c>
      <c r="AU56" s="520">
        <v>0</v>
      </c>
      <c r="AV56" s="520">
        <v>1E-3</v>
      </c>
      <c r="AW56" s="520">
        <v>1E-3</v>
      </c>
      <c r="AX56" s="520">
        <v>0</v>
      </c>
      <c r="AY56" s="520">
        <v>0.16400000000000001</v>
      </c>
      <c r="AZ56" s="517">
        <f t="shared" si="5"/>
        <v>2529.4295941356672</v>
      </c>
      <c r="BA56" s="518">
        <f t="shared" si="6"/>
        <v>1619240.0488237869</v>
      </c>
      <c r="BY56" s="117" t="str">
        <f t="shared" si="9"/>
        <v>WA</v>
      </c>
      <c r="BZ56" s="118">
        <f t="shared" si="10"/>
        <v>265.11900000000003</v>
      </c>
      <c r="CA56" s="118">
        <f t="shared" si="11"/>
        <v>4.3999999999999997E-2</v>
      </c>
      <c r="CB56" s="118">
        <f t="shared" si="12"/>
        <v>0.18099999999999999</v>
      </c>
      <c r="CC56" s="119">
        <f t="shared" si="13"/>
        <v>1995.3436368184684</v>
      </c>
      <c r="CD56" s="99"/>
      <c r="CR56" s="100" t="s">
        <v>190</v>
      </c>
      <c r="CS56" s="104" t="s">
        <v>191</v>
      </c>
      <c r="CW56" s="104" t="s">
        <v>188</v>
      </c>
      <c r="CX56" s="104" t="s">
        <v>188</v>
      </c>
    </row>
    <row r="57" spans="2:102" ht="15" customHeight="1" x14ac:dyDescent="0.25">
      <c r="B57" s="53"/>
      <c r="C57" s="158"/>
      <c r="D57" s="152"/>
      <c r="E57" s="572"/>
      <c r="F57" s="54"/>
      <c r="G57" s="157"/>
      <c r="H57" s="157"/>
      <c r="I57" s="177">
        <f>I56/$G46</f>
        <v>0.99316363797947127</v>
      </c>
      <c r="J57" s="157"/>
      <c r="K57" s="177">
        <f>K56/$G46</f>
        <v>0</v>
      </c>
      <c r="L57" s="157"/>
      <c r="M57" s="177">
        <f>M56/$G46</f>
        <v>0</v>
      </c>
      <c r="N57" s="157"/>
      <c r="O57" s="177">
        <f>O56/$G46</f>
        <v>0</v>
      </c>
      <c r="P57" s="157"/>
      <c r="Q57" s="177">
        <f>Q56/$G46</f>
        <v>0</v>
      </c>
      <c r="R57" s="157"/>
      <c r="S57" s="178">
        <f>S56/$G46</f>
        <v>0</v>
      </c>
      <c r="T57" s="56"/>
      <c r="V57" s="519">
        <v>48</v>
      </c>
      <c r="W57" s="457" t="s">
        <v>191</v>
      </c>
      <c r="X57" s="520">
        <v>31522.3</v>
      </c>
      <c r="Y57" s="520">
        <v>205426913.13600001</v>
      </c>
      <c r="Z57" s="520">
        <v>102953150.197</v>
      </c>
      <c r="AA57" s="520">
        <v>9337.5139999999992</v>
      </c>
      <c r="AB57" s="520">
        <v>2247.6860000000001</v>
      </c>
      <c r="AC57" s="520">
        <v>13647438.613</v>
      </c>
      <c r="AD57" s="520">
        <v>0.18099999999999999</v>
      </c>
      <c r="AE57" s="520">
        <v>4.3999999999999997E-2</v>
      </c>
      <c r="AF57" s="520">
        <v>265.11900000000003</v>
      </c>
      <c r="AG57" s="520">
        <v>9.0999999999999998E-2</v>
      </c>
      <c r="AH57" s="520">
        <v>0.09</v>
      </c>
      <c r="AI57" s="520">
        <v>2.1999999999999999E-2</v>
      </c>
      <c r="AJ57" s="520">
        <v>132.869</v>
      </c>
      <c r="AK57" s="520">
        <v>0.66500000000000004</v>
      </c>
      <c r="AL57" s="520">
        <v>0.106</v>
      </c>
      <c r="AM57" s="520">
        <v>1134.4549999999999</v>
      </c>
      <c r="AN57" s="520">
        <v>8.3000000000000004E-2</v>
      </c>
      <c r="AO57" s="520">
        <v>1.2999999999999999E-2</v>
      </c>
      <c r="AP57" s="520">
        <v>141.34899999999999</v>
      </c>
      <c r="AQ57" s="520">
        <v>4162607.2650000001</v>
      </c>
      <c r="AR57" s="520">
        <v>23717.440999999999</v>
      </c>
      <c r="AS57" s="520">
        <v>19407850.618000001</v>
      </c>
      <c r="AT57" s="520">
        <v>306925.04200000002</v>
      </c>
      <c r="AU57" s="520">
        <v>0.04</v>
      </c>
      <c r="AV57" s="520">
        <v>0</v>
      </c>
      <c r="AW57" s="520">
        <v>0.189</v>
      </c>
      <c r="AX57" s="520">
        <v>3.0000000000000001E-3</v>
      </c>
      <c r="AY57" s="520">
        <v>0.24399999999999999</v>
      </c>
      <c r="AZ57" s="517">
        <f t="shared" si="5"/>
        <v>1995.3436368184684</v>
      </c>
      <c r="BA57" s="518">
        <f t="shared" si="6"/>
        <v>8594.8726205185794</v>
      </c>
      <c r="BY57" s="117" t="str">
        <f t="shared" si="9"/>
        <v>WI</v>
      </c>
      <c r="BZ57" s="118">
        <f t="shared" si="10"/>
        <v>1156.9960000000001</v>
      </c>
      <c r="CA57" s="118">
        <f t="shared" si="11"/>
        <v>0.14399999999999999</v>
      </c>
      <c r="CB57" s="118">
        <f t="shared" si="12"/>
        <v>0.50800000000000001</v>
      </c>
      <c r="CC57" s="119">
        <f t="shared" si="13"/>
        <v>7228.396754037386</v>
      </c>
      <c r="CD57" s="99"/>
      <c r="CR57" s="100" t="s">
        <v>192</v>
      </c>
      <c r="CS57" s="104" t="s">
        <v>193</v>
      </c>
      <c r="CW57" s="104" t="s">
        <v>190</v>
      </c>
      <c r="CX57" s="104" t="s">
        <v>190</v>
      </c>
    </row>
    <row r="58" spans="2:102" ht="15" customHeight="1" x14ac:dyDescent="0.35">
      <c r="B58" s="53"/>
      <c r="C58" s="158" t="s">
        <v>943</v>
      </c>
      <c r="D58" s="152"/>
      <c r="E58" s="572"/>
      <c r="F58" s="54"/>
      <c r="G58" s="157" t="s">
        <v>872</v>
      </c>
      <c r="H58" s="157"/>
      <c r="I58" s="157">
        <f>I135</f>
        <v>-1.4957019770132067</v>
      </c>
      <c r="J58" s="157"/>
      <c r="K58" s="157">
        <f>K135</f>
        <v>0</v>
      </c>
      <c r="L58" s="157"/>
      <c r="M58" s="157">
        <f>M135</f>
        <v>0</v>
      </c>
      <c r="N58" s="157"/>
      <c r="O58" s="157">
        <f>O135</f>
        <v>0</v>
      </c>
      <c r="P58" s="157"/>
      <c r="Q58" s="157">
        <f>Q135</f>
        <v>0</v>
      </c>
      <c r="R58" s="157"/>
      <c r="S58" s="179">
        <f>S135</f>
        <v>0</v>
      </c>
      <c r="T58" s="56"/>
      <c r="V58" s="519">
        <v>49</v>
      </c>
      <c r="W58" s="457" t="s">
        <v>193</v>
      </c>
      <c r="X58" s="520">
        <v>19253.900000000001</v>
      </c>
      <c r="Y58" s="520">
        <v>452056004.704</v>
      </c>
      <c r="Z58" s="520">
        <v>62538903.174000002</v>
      </c>
      <c r="AA58" s="520">
        <v>15900.210999999999</v>
      </c>
      <c r="AB58" s="520">
        <v>4517.7929999999997</v>
      </c>
      <c r="AC58" s="520">
        <v>36178632.494000003</v>
      </c>
      <c r="AD58" s="520">
        <v>0.50800000000000001</v>
      </c>
      <c r="AE58" s="520">
        <v>0.14399999999999999</v>
      </c>
      <c r="AF58" s="520">
        <v>1156.9960000000001</v>
      </c>
      <c r="AG58" s="520">
        <v>7.0000000000000007E-2</v>
      </c>
      <c r="AH58" s="520">
        <v>7.1999999999999995E-2</v>
      </c>
      <c r="AI58" s="520">
        <v>0.02</v>
      </c>
      <c r="AJ58" s="520">
        <v>160.06299999999999</v>
      </c>
      <c r="AK58" s="520">
        <v>0.626</v>
      </c>
      <c r="AL58" s="520">
        <v>0.159</v>
      </c>
      <c r="AM58" s="520">
        <v>1539.845</v>
      </c>
      <c r="AN58" s="520">
        <v>6.7000000000000004E-2</v>
      </c>
      <c r="AO58" s="520">
        <v>1.7000000000000001E-2</v>
      </c>
      <c r="AP58" s="520">
        <v>163.751</v>
      </c>
      <c r="AQ58" s="520">
        <v>21086690.443</v>
      </c>
      <c r="AR58" s="520">
        <v>91090.97</v>
      </c>
      <c r="AS58" s="520">
        <v>25621193.982000001</v>
      </c>
      <c r="AT58" s="520">
        <v>95460.042000000001</v>
      </c>
      <c r="AU58" s="520">
        <v>0.33700000000000002</v>
      </c>
      <c r="AV58" s="520">
        <v>1E-3</v>
      </c>
      <c r="AW58" s="520">
        <v>0.41</v>
      </c>
      <c r="AX58" s="520">
        <v>2E-3</v>
      </c>
      <c r="AY58" s="520">
        <v>0.76600000000000001</v>
      </c>
      <c r="AZ58" s="517">
        <f t="shared" si="5"/>
        <v>7228.396754037386</v>
      </c>
      <c r="BA58" s="518">
        <f t="shared" si="6"/>
        <v>9639.8645274514802</v>
      </c>
      <c r="BY58" s="117" t="str">
        <f t="shared" si="9"/>
        <v>WV</v>
      </c>
      <c r="BZ58" s="118">
        <f t="shared" si="10"/>
        <v>1954.383</v>
      </c>
      <c r="CA58" s="118">
        <f t="shared" si="11"/>
        <v>1.498</v>
      </c>
      <c r="CB58" s="118">
        <f t="shared" si="12"/>
        <v>1.0620000000000001</v>
      </c>
      <c r="CC58" s="119">
        <f t="shared" si="13"/>
        <v>9840.3970857296099</v>
      </c>
      <c r="CD58" s="99"/>
      <c r="CR58" s="100" t="s">
        <v>194</v>
      </c>
      <c r="CS58" s="104" t="s">
        <v>195</v>
      </c>
      <c r="CW58" s="104" t="s">
        <v>192</v>
      </c>
      <c r="CX58" s="104" t="s">
        <v>192</v>
      </c>
    </row>
    <row r="59" spans="2:102" ht="15" customHeight="1" x14ac:dyDescent="0.25">
      <c r="B59" s="53"/>
      <c r="C59" s="180"/>
      <c r="D59" s="181"/>
      <c r="E59" s="573"/>
      <c r="F59" s="54"/>
      <c r="G59" s="168"/>
      <c r="H59" s="168"/>
      <c r="I59" s="182">
        <f>I58/$G52</f>
        <v>-0.14547578559466312</v>
      </c>
      <c r="J59" s="168"/>
      <c r="K59" s="182">
        <f>K58/$G52</f>
        <v>0</v>
      </c>
      <c r="L59" s="168"/>
      <c r="M59" s="182">
        <f>M58/$G52</f>
        <v>0</v>
      </c>
      <c r="N59" s="168"/>
      <c r="O59" s="182">
        <f>O58/$G52</f>
        <v>0</v>
      </c>
      <c r="P59" s="168"/>
      <c r="Q59" s="182">
        <f>Q58/$G52</f>
        <v>0</v>
      </c>
      <c r="R59" s="168"/>
      <c r="S59" s="183">
        <f>S58/$G52</f>
        <v>0</v>
      </c>
      <c r="T59" s="56"/>
      <c r="V59" s="519">
        <v>50</v>
      </c>
      <c r="W59" s="457" t="s">
        <v>195</v>
      </c>
      <c r="X59" s="520">
        <v>15699.4</v>
      </c>
      <c r="Y59" s="520">
        <v>514522719.53299999</v>
      </c>
      <c r="Z59" s="520">
        <v>52286784.267999999</v>
      </c>
      <c r="AA59" s="520">
        <v>27758.075000000001</v>
      </c>
      <c r="AB59" s="520">
        <v>39162.372000000003</v>
      </c>
      <c r="AC59" s="520">
        <v>51094198.799000002</v>
      </c>
      <c r="AD59" s="520">
        <v>1.0620000000000001</v>
      </c>
      <c r="AE59" s="520">
        <v>1.498</v>
      </c>
      <c r="AF59" s="520">
        <v>1954.383</v>
      </c>
      <c r="AG59" s="520">
        <v>0.108</v>
      </c>
      <c r="AH59" s="520">
        <v>9.4E-2</v>
      </c>
      <c r="AI59" s="520">
        <v>0.152</v>
      </c>
      <c r="AJ59" s="520">
        <v>198.608</v>
      </c>
      <c r="AK59" s="520">
        <v>1.141</v>
      </c>
      <c r="AL59" s="520">
        <v>1.609</v>
      </c>
      <c r="AM59" s="520">
        <v>2099.5309999999999</v>
      </c>
      <c r="AN59" s="520">
        <v>0.108</v>
      </c>
      <c r="AO59" s="520">
        <v>0.152</v>
      </c>
      <c r="AP59" s="520">
        <v>198.624</v>
      </c>
      <c r="AQ59" s="520">
        <v>44797569.289999999</v>
      </c>
      <c r="AR59" s="520">
        <v>162826.02499999999</v>
      </c>
      <c r="AS59" s="520">
        <v>3679657.7250000001</v>
      </c>
      <c r="AT59" s="520">
        <v>31967.937000000002</v>
      </c>
      <c r="AU59" s="520">
        <v>0.85699999999999998</v>
      </c>
      <c r="AV59" s="520">
        <v>3.0000000000000001E-3</v>
      </c>
      <c r="AW59" s="520">
        <v>7.0000000000000007E-2</v>
      </c>
      <c r="AX59" s="520">
        <v>1E-3</v>
      </c>
      <c r="AY59" s="520">
        <v>0.93100000000000005</v>
      </c>
      <c r="AZ59" s="517">
        <f t="shared" si="5"/>
        <v>9840.3970857296099</v>
      </c>
      <c r="BA59" s="518">
        <f t="shared" si="6"/>
        <v>10571.221601341316</v>
      </c>
      <c r="BY59" s="117" t="str">
        <f t="shared" si="9"/>
        <v>WY</v>
      </c>
      <c r="BZ59" s="118">
        <f t="shared" si="10"/>
        <v>1820.318</v>
      </c>
      <c r="CA59" s="118">
        <f t="shared" si="11"/>
        <v>1.113</v>
      </c>
      <c r="CB59" s="118">
        <f t="shared" si="12"/>
        <v>1.202</v>
      </c>
      <c r="CC59" s="119">
        <f t="shared" si="13"/>
        <v>8881.9347876375177</v>
      </c>
      <c r="CD59" s="99"/>
      <c r="CR59" s="100" t="s">
        <v>196</v>
      </c>
      <c r="CS59" s="104" t="s">
        <v>197</v>
      </c>
      <c r="CW59" s="104" t="s">
        <v>194</v>
      </c>
      <c r="CX59" s="104" t="s">
        <v>194</v>
      </c>
    </row>
    <row r="60" spans="2:102" ht="15" customHeight="1" x14ac:dyDescent="0.35">
      <c r="B60" s="53"/>
      <c r="C60" s="184" t="s">
        <v>944</v>
      </c>
      <c r="D60" s="126"/>
      <c r="E60" s="154"/>
      <c r="F60" s="148"/>
      <c r="G60" s="154"/>
      <c r="H60" s="154"/>
      <c r="I60" s="154"/>
      <c r="J60" s="154"/>
      <c r="K60" s="154"/>
      <c r="L60" s="154"/>
      <c r="M60" s="154"/>
      <c r="N60" s="154"/>
      <c r="O60" s="154"/>
      <c r="P60" s="154"/>
      <c r="Q60" s="154"/>
      <c r="R60" s="154"/>
      <c r="S60" s="155"/>
      <c r="T60" s="56"/>
      <c r="V60" s="519">
        <v>51</v>
      </c>
      <c r="W60" s="457" t="s">
        <v>197</v>
      </c>
      <c r="X60" s="520">
        <v>11105</v>
      </c>
      <c r="Y60" s="520">
        <v>383489535.84200001</v>
      </c>
      <c r="Z60" s="520">
        <v>43176351.213</v>
      </c>
      <c r="AA60" s="520">
        <v>25944.44</v>
      </c>
      <c r="AB60" s="520">
        <v>24027.186000000002</v>
      </c>
      <c r="AC60" s="520">
        <v>39297340.119999997</v>
      </c>
      <c r="AD60" s="520">
        <v>1.202</v>
      </c>
      <c r="AE60" s="520">
        <v>1.113</v>
      </c>
      <c r="AF60" s="520">
        <v>1820.318</v>
      </c>
      <c r="AG60" s="520">
        <v>0.13500000000000001</v>
      </c>
      <c r="AH60" s="520">
        <v>0.13</v>
      </c>
      <c r="AI60" s="520">
        <v>0.125</v>
      </c>
      <c r="AJ60" s="520">
        <v>204.946</v>
      </c>
      <c r="AK60" s="520">
        <v>1.554</v>
      </c>
      <c r="AL60" s="520">
        <v>1.4410000000000001</v>
      </c>
      <c r="AM60" s="520">
        <v>2354.4009999999998</v>
      </c>
      <c r="AN60" s="520">
        <v>0.13500000000000001</v>
      </c>
      <c r="AO60" s="520">
        <v>0.125</v>
      </c>
      <c r="AP60" s="520">
        <v>204.80799999999999</v>
      </c>
      <c r="AQ60" s="520">
        <v>30844003.170000002</v>
      </c>
      <c r="AR60" s="520">
        <v>43711.743000000002</v>
      </c>
      <c r="AS60" s="520">
        <v>2129478.1949999998</v>
      </c>
      <c r="AT60" s="520">
        <v>352365.76</v>
      </c>
      <c r="AU60" s="520">
        <v>0.71399999999999997</v>
      </c>
      <c r="AV60" s="520">
        <v>1E-3</v>
      </c>
      <c r="AW60" s="520">
        <v>4.9000000000000002E-2</v>
      </c>
      <c r="AX60" s="520">
        <v>8.0000000000000002E-3</v>
      </c>
      <c r="AY60" s="520">
        <v>0.77300000000000002</v>
      </c>
      <c r="AZ60" s="517">
        <f t="shared" si="5"/>
        <v>8881.9347876375177</v>
      </c>
      <c r="BA60" s="518">
        <f t="shared" si="6"/>
        <v>11492.196746111327</v>
      </c>
      <c r="BY60" s="185"/>
      <c r="BZ60" s="186"/>
      <c r="CA60" s="186"/>
      <c r="CB60" s="186"/>
      <c r="CC60" s="187"/>
      <c r="CD60" s="99"/>
      <c r="CR60" s="100" t="s">
        <v>288</v>
      </c>
      <c r="CS60" s="104" t="s">
        <v>288</v>
      </c>
      <c r="CW60" s="105" t="s">
        <v>196</v>
      </c>
      <c r="CX60" s="105" t="s">
        <v>196</v>
      </c>
    </row>
    <row r="61" spans="2:102" ht="15" customHeight="1" x14ac:dyDescent="0.25">
      <c r="B61" s="53"/>
      <c r="C61" s="158" t="s">
        <v>945</v>
      </c>
      <c r="D61" s="152"/>
      <c r="E61" s="188"/>
      <c r="F61" s="54"/>
      <c r="G61" s="188" t="s">
        <v>872</v>
      </c>
      <c r="H61" s="188"/>
      <c r="I61" s="188">
        <f>I137</f>
        <v>0.70684991816068343</v>
      </c>
      <c r="J61" s="188"/>
      <c r="K61" s="188">
        <f>K137</f>
        <v>0</v>
      </c>
      <c r="L61" s="188"/>
      <c r="M61" s="188">
        <f>M137</f>
        <v>0</v>
      </c>
      <c r="N61" s="188"/>
      <c r="O61" s="188">
        <f>O137</f>
        <v>0</v>
      </c>
      <c r="P61" s="188"/>
      <c r="Q61" s="188">
        <f>Q137</f>
        <v>0</v>
      </c>
      <c r="R61" s="188"/>
      <c r="S61" s="189">
        <f>S137</f>
        <v>0</v>
      </c>
      <c r="T61" s="56"/>
      <c r="V61" s="519">
        <v>52</v>
      </c>
      <c r="W61" s="457" t="s">
        <v>288</v>
      </c>
      <c r="X61" s="520">
        <v>2194</v>
      </c>
      <c r="Y61" s="520">
        <v>34476388.973999999</v>
      </c>
      <c r="Z61" s="520">
        <v>5096872.7790000001</v>
      </c>
      <c r="AA61" s="520">
        <v>14153.800999999999</v>
      </c>
      <c r="AB61" s="520">
        <v>789.81100000000004</v>
      </c>
      <c r="AC61" s="520">
        <v>2292658.4569999999</v>
      </c>
      <c r="AD61" s="520">
        <v>5.5540000000000003</v>
      </c>
      <c r="AE61" s="520">
        <v>0.31</v>
      </c>
      <c r="AF61" s="520">
        <v>899.63300000000004</v>
      </c>
      <c r="AG61" s="520">
        <v>0.82099999999999995</v>
      </c>
      <c r="AH61" s="520">
        <v>0.91400000000000003</v>
      </c>
      <c r="AI61" s="520">
        <v>4.5999999999999999E-2</v>
      </c>
      <c r="AJ61" s="520">
        <v>132.999</v>
      </c>
      <c r="AK61" s="520">
        <v>6.6310000000000002</v>
      </c>
      <c r="AL61" s="520">
        <v>0.36699999999999999</v>
      </c>
      <c r="AM61" s="520">
        <v>1074.068</v>
      </c>
      <c r="AN61" s="520">
        <v>0.83099999999999996</v>
      </c>
      <c r="AO61" s="520">
        <v>4.5999999999999999E-2</v>
      </c>
      <c r="AP61" s="520">
        <v>134.57599999999999</v>
      </c>
      <c r="AQ61" s="520">
        <v>730681.46</v>
      </c>
      <c r="AR61" s="520">
        <v>459495.57400000002</v>
      </c>
      <c r="AS61" s="520">
        <v>3080066.4739999999</v>
      </c>
      <c r="AT61" s="520">
        <v>0</v>
      </c>
      <c r="AU61" s="520">
        <v>0.14299999999999999</v>
      </c>
      <c r="AV61" s="520">
        <v>0.09</v>
      </c>
      <c r="AW61" s="520">
        <v>0.60399999999999998</v>
      </c>
      <c r="AX61" s="520">
        <v>0</v>
      </c>
      <c r="AY61" s="520">
        <v>0.84499999999999997</v>
      </c>
      <c r="AZ61" s="517">
        <f t="shared" si="5"/>
        <v>6764.2239602386589</v>
      </c>
      <c r="BA61" s="518">
        <f t="shared" si="6"/>
        <v>8073.6353581267495</v>
      </c>
      <c r="BY61" s="97" t="s">
        <v>946</v>
      </c>
      <c r="BZ61" s="98">
        <f t="shared" ref="BZ61:BZ112" si="14">AM9</f>
        <v>1270.259</v>
      </c>
      <c r="CA61" s="98">
        <f t="shared" ref="CA61:CA112" si="15">AL9</f>
        <v>0.56699999999999995</v>
      </c>
      <c r="CB61" s="98">
        <f t="shared" ref="CB61:CB112" si="16">AK9</f>
        <v>0.71</v>
      </c>
      <c r="CC61" s="79">
        <f t="shared" ref="CC61:CC112" si="17">BA9</f>
        <v>8665.4857455159454</v>
      </c>
      <c r="CD61" s="99"/>
      <c r="CR61" s="100" t="s">
        <v>291</v>
      </c>
      <c r="CS61" s="104" t="s">
        <v>291</v>
      </c>
    </row>
    <row r="62" spans="2:102" ht="15" customHeight="1" x14ac:dyDescent="0.25">
      <c r="B62" s="53"/>
      <c r="C62" s="190" t="s">
        <v>947</v>
      </c>
      <c r="D62" s="191"/>
      <c r="E62" s="192"/>
      <c r="F62" s="54"/>
      <c r="G62" s="192" t="s">
        <v>872</v>
      </c>
      <c r="H62" s="192"/>
      <c r="I62" s="192">
        <f>I138</f>
        <v>0.6776802049894004</v>
      </c>
      <c r="J62" s="192"/>
      <c r="K62" s="192">
        <f>K138</f>
        <v>0</v>
      </c>
      <c r="L62" s="192"/>
      <c r="M62" s="192">
        <f>M138</f>
        <v>0</v>
      </c>
      <c r="N62" s="192"/>
      <c r="O62" s="192">
        <f>O138</f>
        <v>0</v>
      </c>
      <c r="P62" s="192"/>
      <c r="Q62" s="192">
        <f>Q138</f>
        <v>0</v>
      </c>
      <c r="R62" s="192"/>
      <c r="S62" s="193">
        <f>S138</f>
        <v>0</v>
      </c>
      <c r="T62" s="56"/>
      <c r="V62" s="519">
        <v>53</v>
      </c>
      <c r="W62" s="457" t="s">
        <v>291</v>
      </c>
      <c r="X62" s="520">
        <v>901.5</v>
      </c>
      <c r="Y62" s="520">
        <v>5457534.7680000002</v>
      </c>
      <c r="Z62" s="520">
        <v>1582032.382</v>
      </c>
      <c r="AA62" s="520">
        <v>6438.18</v>
      </c>
      <c r="AB62" s="520">
        <v>560.16800000000001</v>
      </c>
      <c r="AC62" s="520">
        <v>411710.53</v>
      </c>
      <c r="AD62" s="520">
        <v>8.1389999999999993</v>
      </c>
      <c r="AE62" s="520">
        <v>0.70799999999999996</v>
      </c>
      <c r="AF62" s="520">
        <v>520.48299999999995</v>
      </c>
      <c r="AG62" s="520">
        <v>2.359</v>
      </c>
      <c r="AH62" s="520">
        <v>2.25</v>
      </c>
      <c r="AI62" s="520">
        <v>0.20499999999999999</v>
      </c>
      <c r="AJ62" s="520">
        <v>150.87799999999999</v>
      </c>
      <c r="AK62" s="520">
        <v>25.853999999999999</v>
      </c>
      <c r="AL62" s="520">
        <v>2.2549999999999999</v>
      </c>
      <c r="AM62" s="520">
        <v>1656.6659999999999</v>
      </c>
      <c r="AN62" s="520">
        <v>2.3530000000000002</v>
      </c>
      <c r="AO62" s="520">
        <v>0.20499999999999999</v>
      </c>
      <c r="AP62" s="520">
        <v>150.74799999999999</v>
      </c>
      <c r="AQ62" s="520">
        <v>0</v>
      </c>
      <c r="AR62" s="520">
        <v>389096.75099999999</v>
      </c>
      <c r="AS62" s="520">
        <v>102340.629</v>
      </c>
      <c r="AT62" s="520">
        <v>0</v>
      </c>
      <c r="AU62" s="520">
        <v>0</v>
      </c>
      <c r="AV62" s="520">
        <v>0.246</v>
      </c>
      <c r="AW62" s="520">
        <v>6.5000000000000002E-2</v>
      </c>
      <c r="AX62" s="520">
        <v>0</v>
      </c>
      <c r="AY62" s="520">
        <v>0.311</v>
      </c>
      <c r="AZ62" s="517">
        <f t="shared" si="5"/>
        <v>3449.6985207727562</v>
      </c>
      <c r="BA62" s="518">
        <f t="shared" si="6"/>
        <v>11105.249600671403</v>
      </c>
      <c r="BY62" s="117" t="s">
        <v>948</v>
      </c>
      <c r="BZ62" s="118">
        <f t="shared" si="14"/>
        <v>1134.6969999999999</v>
      </c>
      <c r="CA62" s="118">
        <f t="shared" si="15"/>
        <v>0.56299999999999994</v>
      </c>
      <c r="CB62" s="118">
        <f t="shared" si="16"/>
        <v>8.6310000000000002</v>
      </c>
      <c r="CC62" s="119">
        <f t="shared" si="17"/>
        <v>8386.5182655642075</v>
      </c>
      <c r="CR62" s="100" t="s">
        <v>318</v>
      </c>
      <c r="CS62" s="104" t="s">
        <v>318</v>
      </c>
    </row>
    <row r="63" spans="2:102" ht="15" customHeight="1" x14ac:dyDescent="0.25">
      <c r="B63" s="53"/>
      <c r="C63" s="324" t="s">
        <v>949</v>
      </c>
      <c r="D63" s="152"/>
      <c r="E63" s="154"/>
      <c r="F63" s="169"/>
      <c r="G63" s="325">
        <f>SUM(Calc!B132:B135)</f>
        <v>2194.1482585906392</v>
      </c>
      <c r="H63" s="154"/>
      <c r="I63" s="325">
        <f>Calc!B131</f>
        <v>1415.1230075549545</v>
      </c>
      <c r="J63" s="82"/>
      <c r="K63" s="325"/>
      <c r="L63" s="82"/>
      <c r="M63" s="325"/>
      <c r="N63" s="82"/>
      <c r="O63" s="82"/>
      <c r="P63" s="82"/>
      <c r="Q63" s="82"/>
      <c r="R63" s="82"/>
      <c r="S63" s="82"/>
      <c r="T63" s="56"/>
      <c r="V63" s="519">
        <v>54</v>
      </c>
      <c r="W63" s="457" t="s">
        <v>318</v>
      </c>
      <c r="X63" s="520">
        <v>54243.199999999997</v>
      </c>
      <c r="Y63" s="520">
        <v>885385351.95599997</v>
      </c>
      <c r="Z63" s="520">
        <v>175554659.51899999</v>
      </c>
      <c r="AA63" s="520">
        <v>31618.223000000002</v>
      </c>
      <c r="AB63" s="520">
        <v>9001.44</v>
      </c>
      <c r="AC63" s="520">
        <v>61769179.174999997</v>
      </c>
      <c r="AD63" s="520">
        <v>0.36</v>
      </c>
      <c r="AE63" s="520">
        <v>0.10299999999999999</v>
      </c>
      <c r="AF63" s="520">
        <v>703.70299999999997</v>
      </c>
      <c r="AG63" s="520">
        <v>7.0999999999999994E-2</v>
      </c>
      <c r="AH63" s="520">
        <v>7.2999999999999995E-2</v>
      </c>
      <c r="AI63" s="520">
        <v>0.02</v>
      </c>
      <c r="AJ63" s="520">
        <v>139.53100000000001</v>
      </c>
      <c r="AK63" s="520">
        <v>0.58699999999999997</v>
      </c>
      <c r="AL63" s="520">
        <v>0.16900000000000001</v>
      </c>
      <c r="AM63" s="520">
        <v>1173.527</v>
      </c>
      <c r="AN63" s="520">
        <v>7.0000000000000007E-2</v>
      </c>
      <c r="AO63" s="520">
        <v>0.02</v>
      </c>
      <c r="AP63" s="520">
        <v>140.494</v>
      </c>
      <c r="AQ63" s="520">
        <v>19440366.670000002</v>
      </c>
      <c r="AR63" s="520">
        <v>34236.082000000002</v>
      </c>
      <c r="AS63" s="520">
        <v>85450236.460999995</v>
      </c>
      <c r="AT63" s="520">
        <v>0</v>
      </c>
      <c r="AU63" s="520">
        <v>0.111</v>
      </c>
      <c r="AV63" s="520">
        <v>0</v>
      </c>
      <c r="AW63" s="520">
        <v>0.48699999999999999</v>
      </c>
      <c r="AX63" s="520">
        <v>0</v>
      </c>
      <c r="AY63" s="520">
        <v>0.6</v>
      </c>
      <c r="AZ63" s="517">
        <f t="shared" si="5"/>
        <v>5043.3600246319647</v>
      </c>
      <c r="BA63" s="518">
        <f t="shared" si="6"/>
        <v>8438.2817128615843</v>
      </c>
      <c r="BY63" s="117" t="s">
        <v>950</v>
      </c>
      <c r="BZ63" s="118">
        <f t="shared" si="14"/>
        <v>1232.6890000000001</v>
      </c>
      <c r="CA63" s="118">
        <f t="shared" si="15"/>
        <v>5.7000000000000002E-2</v>
      </c>
      <c r="CB63" s="118">
        <f t="shared" si="16"/>
        <v>0.33100000000000002</v>
      </c>
      <c r="CC63" s="119">
        <f t="shared" si="17"/>
        <v>8546.6504330002917</v>
      </c>
      <c r="CR63" s="100" t="s">
        <v>324</v>
      </c>
      <c r="CS63" s="104" t="s">
        <v>324</v>
      </c>
    </row>
    <row r="64" spans="2:102" ht="15" customHeight="1" thickBot="1" x14ac:dyDescent="0.3">
      <c r="B64" s="194"/>
      <c r="C64" s="320"/>
      <c r="D64" s="195"/>
      <c r="E64" s="196"/>
      <c r="F64" s="196"/>
      <c r="G64" s="196"/>
      <c r="H64" s="196"/>
      <c r="I64" s="197"/>
      <c r="J64" s="197"/>
      <c r="K64" s="197"/>
      <c r="L64" s="197"/>
      <c r="M64" s="197"/>
      <c r="N64" s="197"/>
      <c r="O64" s="197"/>
      <c r="P64" s="197"/>
      <c r="Q64" s="197"/>
      <c r="R64" s="197"/>
      <c r="S64" s="197"/>
      <c r="T64" s="198"/>
      <c r="V64" s="519">
        <v>55</v>
      </c>
      <c r="W64" s="457" t="s">
        <v>324</v>
      </c>
      <c r="X64" s="520">
        <v>99264.3</v>
      </c>
      <c r="Y64" s="520">
        <v>818268630.176</v>
      </c>
      <c r="Z64" s="520">
        <v>220986983.331</v>
      </c>
      <c r="AA64" s="520">
        <v>36695.116000000002</v>
      </c>
      <c r="AB64" s="520">
        <v>2159.7910000000002</v>
      </c>
      <c r="AC64" s="520">
        <v>47342486.546999998</v>
      </c>
      <c r="AD64" s="520">
        <v>0.33200000000000002</v>
      </c>
      <c r="AE64" s="520">
        <v>0.02</v>
      </c>
      <c r="AF64" s="520">
        <v>428.464</v>
      </c>
      <c r="AG64" s="520">
        <v>0.09</v>
      </c>
      <c r="AH64" s="520">
        <v>9.1999999999999998E-2</v>
      </c>
      <c r="AI64" s="520">
        <v>5.0000000000000001E-3</v>
      </c>
      <c r="AJ64" s="520">
        <v>115.714</v>
      </c>
      <c r="AK64" s="520">
        <v>0.60299999999999998</v>
      </c>
      <c r="AL64" s="520">
        <v>2.4E-2</v>
      </c>
      <c r="AM64" s="520">
        <v>931.57600000000002</v>
      </c>
      <c r="AN64" s="520">
        <v>0.08</v>
      </c>
      <c r="AO64" s="520">
        <v>3.0000000000000001E-3</v>
      </c>
      <c r="AP64" s="520">
        <v>123.822</v>
      </c>
      <c r="AQ64" s="520">
        <v>4645646.3760000002</v>
      </c>
      <c r="AR64" s="520">
        <v>84833.379000000001</v>
      </c>
      <c r="AS64" s="520">
        <v>94784061.273000002</v>
      </c>
      <c r="AT64" s="520">
        <v>1483673.1740000001</v>
      </c>
      <c r="AU64" s="520">
        <v>2.1000000000000001E-2</v>
      </c>
      <c r="AV64" s="520">
        <v>0</v>
      </c>
      <c r="AW64" s="520">
        <v>0.42899999999999999</v>
      </c>
      <c r="AX64" s="520">
        <v>7.0000000000000001E-3</v>
      </c>
      <c r="AY64" s="520">
        <v>0.47899999999999998</v>
      </c>
      <c r="AZ64" s="517">
        <f t="shared" si="5"/>
        <v>3702.7910777458605</v>
      </c>
      <c r="BA64" s="518">
        <f t="shared" si="6"/>
        <v>8101.8128552197359</v>
      </c>
      <c r="BY64" s="117" t="s">
        <v>951</v>
      </c>
      <c r="BZ64" s="118">
        <f t="shared" si="14"/>
        <v>1450.0160000000001</v>
      </c>
      <c r="CA64" s="118">
        <f t="shared" si="15"/>
        <v>1.2010000000000001</v>
      </c>
      <c r="CB64" s="118">
        <f t="shared" si="16"/>
        <v>0.68500000000000005</v>
      </c>
      <c r="CC64" s="119">
        <f t="shared" si="17"/>
        <v>8939.3114132665778</v>
      </c>
      <c r="CR64" s="100" t="s">
        <v>514</v>
      </c>
      <c r="CS64" s="104" t="s">
        <v>514</v>
      </c>
    </row>
    <row r="65" spans="2:97" ht="15" customHeight="1" x14ac:dyDescent="0.3">
      <c r="B65" s="53"/>
      <c r="C65" s="81" t="s">
        <v>952</v>
      </c>
      <c r="D65" s="81"/>
      <c r="E65" s="82"/>
      <c r="F65" s="54"/>
      <c r="G65" s="54"/>
      <c r="H65" s="54"/>
      <c r="I65" s="54"/>
      <c r="J65" s="54"/>
      <c r="K65" s="54"/>
      <c r="L65" s="54"/>
      <c r="M65" s="54"/>
      <c r="N65" s="54"/>
      <c r="O65" s="54"/>
      <c r="P65" s="54"/>
      <c r="Q65" s="54"/>
      <c r="R65" s="54"/>
      <c r="S65" s="54"/>
      <c r="T65" s="56"/>
      <c r="V65" s="519">
        <v>56</v>
      </c>
      <c r="W65" s="457" t="s">
        <v>514</v>
      </c>
      <c r="X65" s="520">
        <v>145507.70000000001</v>
      </c>
      <c r="Y65" s="520">
        <v>2441458265.322</v>
      </c>
      <c r="Z65" s="520">
        <v>477137386.10100001</v>
      </c>
      <c r="AA65" s="520">
        <v>105681.056</v>
      </c>
      <c r="AB65" s="520">
        <v>76095.39</v>
      </c>
      <c r="AC65" s="520">
        <v>175076531.801</v>
      </c>
      <c r="AD65" s="520">
        <v>0.443</v>
      </c>
      <c r="AE65" s="520">
        <v>0.31900000000000001</v>
      </c>
      <c r="AF65" s="520">
        <v>733.86199999999997</v>
      </c>
      <c r="AG65" s="520">
        <v>8.6999999999999994E-2</v>
      </c>
      <c r="AH65" s="520">
        <v>8.5999999999999993E-2</v>
      </c>
      <c r="AI65" s="520">
        <v>6.2E-2</v>
      </c>
      <c r="AJ65" s="520">
        <v>143.41999999999999</v>
      </c>
      <c r="AK65" s="520">
        <v>0.71299999999999997</v>
      </c>
      <c r="AL65" s="520">
        <v>0.51200000000000001</v>
      </c>
      <c r="AM65" s="520">
        <v>1176.912</v>
      </c>
      <c r="AN65" s="520">
        <v>8.6999999999999994E-2</v>
      </c>
      <c r="AO65" s="520">
        <v>6.3E-2</v>
      </c>
      <c r="AP65" s="520">
        <v>144.06700000000001</v>
      </c>
      <c r="AQ65" s="520">
        <v>60420147.399999999</v>
      </c>
      <c r="AR65" s="520">
        <v>213046.005</v>
      </c>
      <c r="AS65" s="520">
        <v>236892782.76100001</v>
      </c>
      <c r="AT65" s="520">
        <v>1696010.173</v>
      </c>
      <c r="AU65" s="520">
        <v>0.127</v>
      </c>
      <c r="AV65" s="520">
        <v>0</v>
      </c>
      <c r="AW65" s="520">
        <v>0.496</v>
      </c>
      <c r="AX65" s="520">
        <v>4.0000000000000001E-3</v>
      </c>
      <c r="AY65" s="520">
        <v>0.629</v>
      </c>
      <c r="AZ65" s="517">
        <f t="shared" si="5"/>
        <v>5116.8873713140438</v>
      </c>
      <c r="BA65" s="518">
        <f t="shared" si="6"/>
        <v>8159.3545153329042</v>
      </c>
      <c r="BY65" s="117" t="s">
        <v>953</v>
      </c>
      <c r="BZ65" s="118">
        <f t="shared" si="14"/>
        <v>1182.5809999999999</v>
      </c>
      <c r="CA65" s="118">
        <f t="shared" si="15"/>
        <v>0.215</v>
      </c>
      <c r="CB65" s="118">
        <f t="shared" si="16"/>
        <v>0.503</v>
      </c>
      <c r="CC65" s="119">
        <f t="shared" si="17"/>
        <v>8386.1855283811528</v>
      </c>
      <c r="CR65" s="100" t="s">
        <v>349</v>
      </c>
      <c r="CS65" s="104" t="s">
        <v>349</v>
      </c>
    </row>
    <row r="66" spans="2:97" ht="15" customHeight="1" x14ac:dyDescent="0.25">
      <c r="B66" s="53"/>
      <c r="C66" s="54"/>
      <c r="D66" s="54"/>
      <c r="E66" s="82"/>
      <c r="F66" s="54"/>
      <c r="G66" s="54"/>
      <c r="H66" s="54"/>
      <c r="I66" s="54"/>
      <c r="J66" s="54"/>
      <c r="K66" s="54"/>
      <c r="L66" s="54"/>
      <c r="M66" s="54"/>
      <c r="N66" s="54"/>
      <c r="O66" s="54"/>
      <c r="P66" s="54"/>
      <c r="Q66" s="54"/>
      <c r="R66" s="54"/>
      <c r="S66" s="54"/>
      <c r="T66" s="56"/>
      <c r="V66" s="519">
        <v>57</v>
      </c>
      <c r="W66" s="457" t="s">
        <v>349</v>
      </c>
      <c r="X66" s="520">
        <v>72773.8</v>
      </c>
      <c r="Y66" s="520">
        <v>1561123659.8599999</v>
      </c>
      <c r="Z66" s="520">
        <v>250055523.98300001</v>
      </c>
      <c r="AA66" s="520">
        <v>30262.333999999999</v>
      </c>
      <c r="AB66" s="520">
        <v>15974.794</v>
      </c>
      <c r="AC66" s="520">
        <v>97804509.085999995</v>
      </c>
      <c r="AD66" s="520">
        <v>0.24199999999999999</v>
      </c>
      <c r="AE66" s="520">
        <v>0.128</v>
      </c>
      <c r="AF66" s="520">
        <v>782.26199999999994</v>
      </c>
      <c r="AG66" s="520">
        <v>3.9E-2</v>
      </c>
      <c r="AH66" s="520">
        <v>3.7999999999999999E-2</v>
      </c>
      <c r="AI66" s="520">
        <v>0.02</v>
      </c>
      <c r="AJ66" s="520">
        <v>125.3</v>
      </c>
      <c r="AK66" s="520">
        <v>0.215</v>
      </c>
      <c r="AL66" s="520">
        <v>0.11</v>
      </c>
      <c r="AM66" s="520">
        <v>945.99900000000002</v>
      </c>
      <c r="AN66" s="520">
        <v>2.9000000000000001E-2</v>
      </c>
      <c r="AO66" s="520">
        <v>1.4999999999999999E-2</v>
      </c>
      <c r="AP66" s="520">
        <v>127.009</v>
      </c>
      <c r="AQ66" s="520">
        <v>11373250.602</v>
      </c>
      <c r="AR66" s="520">
        <v>1197480.0449999999</v>
      </c>
      <c r="AS66" s="520">
        <v>188752739.02599999</v>
      </c>
      <c r="AT66" s="520">
        <v>1459608.7930000001</v>
      </c>
      <c r="AU66" s="520">
        <v>4.4999999999999998E-2</v>
      </c>
      <c r="AV66" s="520">
        <v>5.0000000000000001E-3</v>
      </c>
      <c r="AW66" s="520">
        <v>0.755</v>
      </c>
      <c r="AX66" s="520">
        <v>6.0000000000000001E-3</v>
      </c>
      <c r="AY66" s="520">
        <v>0.82199999999999995</v>
      </c>
      <c r="AZ66" s="517">
        <f t="shared" si="5"/>
        <v>6243.1080705344975</v>
      </c>
      <c r="BA66" s="518">
        <f t="shared" si="6"/>
        <v>7698.4907797508786</v>
      </c>
      <c r="BY66" s="117" t="s">
        <v>954</v>
      </c>
      <c r="BZ66" s="118">
        <f t="shared" si="14"/>
        <v>873.41</v>
      </c>
      <c r="CA66" s="118">
        <f t="shared" si="15"/>
        <v>7.0000000000000001E-3</v>
      </c>
      <c r="CB66" s="118">
        <f t="shared" si="16"/>
        <v>0.52300000000000002</v>
      </c>
      <c r="CC66" s="119">
        <f t="shared" si="17"/>
        <v>8043.2807549692297</v>
      </c>
      <c r="CR66" s="100" t="s">
        <v>364</v>
      </c>
      <c r="CS66" s="104" t="s">
        <v>364</v>
      </c>
    </row>
    <row r="67" spans="2:97" ht="15" customHeight="1" x14ac:dyDescent="0.25">
      <c r="B67" s="53"/>
      <c r="C67" s="199" t="s">
        <v>886</v>
      </c>
      <c r="D67" s="199"/>
      <c r="E67" s="200" t="s">
        <v>860</v>
      </c>
      <c r="F67" s="199" t="s">
        <v>861</v>
      </c>
      <c r="G67" s="199"/>
      <c r="H67" s="199"/>
      <c r="I67" s="199" t="s">
        <v>955</v>
      </c>
      <c r="J67" s="201"/>
      <c r="K67" s="201"/>
      <c r="L67" s="201"/>
      <c r="M67" s="199" t="s">
        <v>956</v>
      </c>
      <c r="N67" s="201"/>
      <c r="O67" s="201"/>
      <c r="P67" s="201"/>
      <c r="Q67" s="201"/>
      <c r="R67" s="201"/>
      <c r="S67" s="201"/>
      <c r="T67" s="202"/>
      <c r="V67" s="519">
        <v>58</v>
      </c>
      <c r="W67" s="457" t="s">
        <v>364</v>
      </c>
      <c r="X67" s="520">
        <v>1099.2</v>
      </c>
      <c r="Y67" s="520">
        <v>19260745.5</v>
      </c>
      <c r="Z67" s="520">
        <v>2611612.997</v>
      </c>
      <c r="AA67" s="520">
        <v>9878.5969999999998</v>
      </c>
      <c r="AB67" s="520">
        <v>5862.0330000000004</v>
      </c>
      <c r="AC67" s="520">
        <v>1466905.3759999999</v>
      </c>
      <c r="AD67" s="520">
        <v>7.5650000000000004</v>
      </c>
      <c r="AE67" s="520">
        <v>4.4889999999999999</v>
      </c>
      <c r="AF67" s="520">
        <v>1123.3710000000001</v>
      </c>
      <c r="AG67" s="520">
        <v>1.026</v>
      </c>
      <c r="AH67" s="520">
        <v>1.0149999999999999</v>
      </c>
      <c r="AI67" s="520">
        <v>0.60899999999999999</v>
      </c>
      <c r="AJ67" s="520">
        <v>152.321</v>
      </c>
      <c r="AK67" s="520">
        <v>10.903</v>
      </c>
      <c r="AL67" s="520">
        <v>6.4909999999999997</v>
      </c>
      <c r="AM67" s="520">
        <v>1617.308</v>
      </c>
      <c r="AN67" s="520">
        <v>1.0640000000000001</v>
      </c>
      <c r="AO67" s="520">
        <v>0.63300000000000001</v>
      </c>
      <c r="AP67" s="520">
        <v>157.75899999999999</v>
      </c>
      <c r="AQ67" s="520">
        <v>0</v>
      </c>
      <c r="AR67" s="520">
        <v>1721735.6510000001</v>
      </c>
      <c r="AS67" s="520">
        <v>0</v>
      </c>
      <c r="AT67" s="520">
        <v>0</v>
      </c>
      <c r="AU67" s="520">
        <v>0</v>
      </c>
      <c r="AV67" s="520">
        <v>0.65900000000000003</v>
      </c>
      <c r="AW67" s="520">
        <v>0</v>
      </c>
      <c r="AX67" s="520">
        <v>0</v>
      </c>
      <c r="AY67" s="520">
        <v>0.70699999999999996</v>
      </c>
      <c r="AZ67" s="517">
        <f t="shared" si="5"/>
        <v>7375.0381553948137</v>
      </c>
      <c r="BA67" s="518">
        <f t="shared" si="6"/>
        <v>11186.819236050076</v>
      </c>
      <c r="BY67" s="117" t="s">
        <v>957</v>
      </c>
      <c r="BZ67" s="118">
        <f t="shared" si="14"/>
        <v>1732.3340000000001</v>
      </c>
      <c r="CA67" s="118">
        <f t="shared" si="15"/>
        <v>0.55900000000000005</v>
      </c>
      <c r="CB67" s="118">
        <f t="shared" si="16"/>
        <v>0.86</v>
      </c>
      <c r="CC67" s="119">
        <f t="shared" si="17"/>
        <v>10110.044110409362</v>
      </c>
      <c r="CR67" s="100" t="s">
        <v>367</v>
      </c>
      <c r="CS67" s="104" t="s">
        <v>367</v>
      </c>
    </row>
    <row r="68" spans="2:97" ht="28.5" customHeight="1" x14ac:dyDescent="0.25">
      <c r="B68" s="53"/>
      <c r="C68" s="574" t="s">
        <v>958</v>
      </c>
      <c r="D68" s="574"/>
      <c r="E68" s="203">
        <v>1020</v>
      </c>
      <c r="F68" s="204" t="s">
        <v>959</v>
      </c>
      <c r="G68" s="205"/>
      <c r="H68" s="205"/>
      <c r="I68" s="574" t="s">
        <v>960</v>
      </c>
      <c r="J68" s="574"/>
      <c r="K68" s="574"/>
      <c r="L68" s="205"/>
      <c r="M68" s="575" t="s">
        <v>961</v>
      </c>
      <c r="N68" s="575"/>
      <c r="O68" s="575"/>
      <c r="P68" s="575"/>
      <c r="Q68" s="575"/>
      <c r="R68" s="575"/>
      <c r="S68" s="575"/>
      <c r="T68" s="206"/>
      <c r="V68" s="519">
        <v>59</v>
      </c>
      <c r="W68" s="457" t="s">
        <v>367</v>
      </c>
      <c r="X68" s="520">
        <v>2352</v>
      </c>
      <c r="Y68" s="520">
        <v>61965314.321999997</v>
      </c>
      <c r="Z68" s="520">
        <v>6547004.7359999996</v>
      </c>
      <c r="AA68" s="520">
        <v>12792.987999999999</v>
      </c>
      <c r="AB68" s="520">
        <v>14009.869000000001</v>
      </c>
      <c r="AC68" s="520">
        <v>4876037.8449999997</v>
      </c>
      <c r="AD68" s="520">
        <v>3.9079999999999999</v>
      </c>
      <c r="AE68" s="520">
        <v>4.28</v>
      </c>
      <c r="AF68" s="520">
        <v>1489.548</v>
      </c>
      <c r="AG68" s="520">
        <v>0.41299999999999998</v>
      </c>
      <c r="AH68" s="520">
        <v>0.40300000000000002</v>
      </c>
      <c r="AI68" s="520">
        <v>0.45200000000000001</v>
      </c>
      <c r="AJ68" s="520">
        <v>157.38</v>
      </c>
      <c r="AK68" s="520">
        <v>4.3890000000000002</v>
      </c>
      <c r="AL68" s="520">
        <v>4.9710000000000001</v>
      </c>
      <c r="AM68" s="520">
        <v>1661.123</v>
      </c>
      <c r="AN68" s="520">
        <v>0.43099999999999999</v>
      </c>
      <c r="AO68" s="520">
        <v>0.48899999999999999</v>
      </c>
      <c r="AP68" s="520">
        <v>163.29499999999999</v>
      </c>
      <c r="AQ68" s="520">
        <v>0</v>
      </c>
      <c r="AR68" s="520">
        <v>5437720.7779999999</v>
      </c>
      <c r="AS68" s="520">
        <v>0</v>
      </c>
      <c r="AT68" s="520">
        <v>177774.96</v>
      </c>
      <c r="AU68" s="520">
        <v>0</v>
      </c>
      <c r="AV68" s="520">
        <v>0.83099999999999996</v>
      </c>
      <c r="AW68" s="520">
        <v>0</v>
      </c>
      <c r="AX68" s="520">
        <v>2.7E-2</v>
      </c>
      <c r="AY68" s="520">
        <v>0.88300000000000001</v>
      </c>
      <c r="AZ68" s="517">
        <f t="shared" si="5"/>
        <v>9464.6814567387537</v>
      </c>
      <c r="BA68" s="518">
        <f t="shared" si="6"/>
        <v>11034.700623612154</v>
      </c>
      <c r="BY68" s="117" t="s">
        <v>962</v>
      </c>
      <c r="BZ68" s="118">
        <f t="shared" si="14"/>
        <v>810.03</v>
      </c>
      <c r="CA68" s="118">
        <f t="shared" si="15"/>
        <v>1.7999999999999999E-2</v>
      </c>
      <c r="CB68" s="118">
        <f t="shared" si="16"/>
        <v>0.16600000000000001</v>
      </c>
      <c r="CC68" s="119">
        <f t="shared" si="17"/>
        <v>7424.2903011025137</v>
      </c>
      <c r="CR68" s="100" t="s">
        <v>544</v>
      </c>
      <c r="CS68" s="104" t="s">
        <v>544</v>
      </c>
    </row>
    <row r="69" spans="2:97" ht="15" customHeight="1" x14ac:dyDescent="0.25">
      <c r="B69" s="53"/>
      <c r="C69" s="568" t="s">
        <v>963</v>
      </c>
      <c r="D69" s="568"/>
      <c r="E69" s="203">
        <v>120000</v>
      </c>
      <c r="F69" s="204" t="s">
        <v>964</v>
      </c>
      <c r="G69" s="205"/>
      <c r="H69" s="205"/>
      <c r="I69" s="568" t="s">
        <v>965</v>
      </c>
      <c r="J69" s="568"/>
      <c r="K69" s="568"/>
      <c r="L69" s="205"/>
      <c r="M69" s="569" t="s">
        <v>961</v>
      </c>
      <c r="N69" s="569"/>
      <c r="O69" s="569"/>
      <c r="P69" s="569"/>
      <c r="Q69" s="569"/>
      <c r="R69" s="569"/>
      <c r="S69" s="569"/>
      <c r="T69" s="206"/>
      <c r="V69" s="519">
        <v>60</v>
      </c>
      <c r="W69" s="457" t="s">
        <v>544</v>
      </c>
      <c r="X69" s="520">
        <v>9637.9</v>
      </c>
      <c r="Y69" s="520">
        <v>215861791.514</v>
      </c>
      <c r="Z69" s="520">
        <v>24520967.706</v>
      </c>
      <c r="AA69" s="520">
        <v>12037.444</v>
      </c>
      <c r="AB69" s="520">
        <v>3392.3110000000001</v>
      </c>
      <c r="AC69" s="520">
        <v>17131736.787999999</v>
      </c>
      <c r="AD69" s="520">
        <v>0.98199999999999998</v>
      </c>
      <c r="AE69" s="520">
        <v>0.27700000000000002</v>
      </c>
      <c r="AF69" s="520">
        <v>1397.3130000000001</v>
      </c>
      <c r="AG69" s="520">
        <v>0.112</v>
      </c>
      <c r="AH69" s="520">
        <v>0.11</v>
      </c>
      <c r="AI69" s="520">
        <v>3.1E-2</v>
      </c>
      <c r="AJ69" s="520">
        <v>158.72900000000001</v>
      </c>
      <c r="AK69" s="520">
        <v>1.139</v>
      </c>
      <c r="AL69" s="520">
        <v>0.27800000000000002</v>
      </c>
      <c r="AM69" s="520">
        <v>1664.682</v>
      </c>
      <c r="AN69" s="520">
        <v>0.11</v>
      </c>
      <c r="AO69" s="520">
        <v>2.7E-2</v>
      </c>
      <c r="AP69" s="520">
        <v>160.51499999999999</v>
      </c>
      <c r="AQ69" s="520">
        <v>9677002.2259999998</v>
      </c>
      <c r="AR69" s="520">
        <v>73857.732000000004</v>
      </c>
      <c r="AS69" s="520">
        <v>10519939.187999999</v>
      </c>
      <c r="AT69" s="520">
        <v>0</v>
      </c>
      <c r="AU69" s="520">
        <v>0.39500000000000002</v>
      </c>
      <c r="AV69" s="520">
        <v>3.0000000000000001E-3</v>
      </c>
      <c r="AW69" s="520">
        <v>0.42899999999999999</v>
      </c>
      <c r="AX69" s="520">
        <v>0</v>
      </c>
      <c r="AY69" s="520">
        <v>0.85699999999999998</v>
      </c>
      <c r="AZ69" s="517">
        <f t="shared" si="5"/>
        <v>8803.1514131956992</v>
      </c>
      <c r="BA69" s="518">
        <f t="shared" si="6"/>
        <v>10648.903871981567</v>
      </c>
      <c r="BY69" s="117" t="s">
        <v>966</v>
      </c>
      <c r="BZ69" s="118">
        <f t="shared" si="14"/>
        <v>758.14499999999998</v>
      </c>
      <c r="CA69" s="118">
        <f t="shared" si="15"/>
        <v>2.1000000000000001E-2</v>
      </c>
      <c r="CB69" s="118">
        <f t="shared" si="16"/>
        <v>2.6579999999999999</v>
      </c>
      <c r="CC69" s="119">
        <f t="shared" si="17"/>
        <v>16693.59897498817</v>
      </c>
      <c r="CR69" s="100" t="s">
        <v>372</v>
      </c>
      <c r="CS69" s="104" t="s">
        <v>372</v>
      </c>
    </row>
    <row r="70" spans="2:97" ht="39" customHeight="1" x14ac:dyDescent="0.25">
      <c r="B70" s="53"/>
      <c r="C70" s="568" t="s">
        <v>967</v>
      </c>
      <c r="D70" s="568"/>
      <c r="E70" s="207">
        <v>0.6</v>
      </c>
      <c r="F70" s="204" t="s">
        <v>964</v>
      </c>
      <c r="G70" s="205"/>
      <c r="H70" s="205"/>
      <c r="I70" s="568" t="s">
        <v>965</v>
      </c>
      <c r="J70" s="568"/>
      <c r="K70" s="568"/>
      <c r="L70" s="205"/>
      <c r="M70" s="569" t="s">
        <v>961</v>
      </c>
      <c r="N70" s="569"/>
      <c r="O70" s="569"/>
      <c r="P70" s="569"/>
      <c r="Q70" s="569"/>
      <c r="R70" s="569"/>
      <c r="S70" s="569"/>
      <c r="T70" s="206"/>
      <c r="V70" s="519">
        <v>61</v>
      </c>
      <c r="W70" s="457" t="s">
        <v>372</v>
      </c>
      <c r="X70" s="520">
        <v>77431.600000000006</v>
      </c>
      <c r="Y70" s="520">
        <v>1175173096.497</v>
      </c>
      <c r="Z70" s="520">
        <v>240934538.66299999</v>
      </c>
      <c r="AA70" s="520">
        <v>85634.380999999994</v>
      </c>
      <c r="AB70" s="520">
        <v>107898.24400000001</v>
      </c>
      <c r="AC70" s="520">
        <v>110845559.8</v>
      </c>
      <c r="AD70" s="520">
        <v>0.71099999999999997</v>
      </c>
      <c r="AE70" s="520">
        <v>0.89600000000000002</v>
      </c>
      <c r="AF70" s="520">
        <v>920.13</v>
      </c>
      <c r="AG70" s="520">
        <v>0.14599999999999999</v>
      </c>
      <c r="AH70" s="520">
        <v>0.14299999999999999</v>
      </c>
      <c r="AI70" s="520">
        <v>0.184</v>
      </c>
      <c r="AJ70" s="520">
        <v>188.64599999999999</v>
      </c>
      <c r="AK70" s="520">
        <v>1.411</v>
      </c>
      <c r="AL70" s="520">
        <v>1.8220000000000001</v>
      </c>
      <c r="AM70" s="520">
        <v>1891.086</v>
      </c>
      <c r="AN70" s="520">
        <v>0.14299999999999999</v>
      </c>
      <c r="AO70" s="520">
        <v>0.184</v>
      </c>
      <c r="AP70" s="520">
        <v>191.06399999999999</v>
      </c>
      <c r="AQ70" s="520">
        <v>84747620.531000003</v>
      </c>
      <c r="AR70" s="520">
        <v>275003.19699999999</v>
      </c>
      <c r="AS70" s="520">
        <v>31533282.089000002</v>
      </c>
      <c r="AT70" s="520">
        <v>373807.58600000001</v>
      </c>
      <c r="AU70" s="520">
        <v>0.35199999999999998</v>
      </c>
      <c r="AV70" s="520">
        <v>1E-3</v>
      </c>
      <c r="AW70" s="520">
        <v>0.13100000000000001</v>
      </c>
      <c r="AX70" s="520">
        <v>2E-3</v>
      </c>
      <c r="AY70" s="520">
        <v>0.49199999999999999</v>
      </c>
      <c r="AZ70" s="517">
        <f t="shared" si="5"/>
        <v>4877.561776814151</v>
      </c>
      <c r="BA70" s="518">
        <f t="shared" si="6"/>
        <v>10050.252089875123</v>
      </c>
      <c r="BY70" s="117" t="s">
        <v>968</v>
      </c>
      <c r="BZ70" s="118">
        <f t="shared" si="14"/>
        <v>984.53700000000003</v>
      </c>
      <c r="CA70" s="118">
        <f t="shared" si="15"/>
        <v>9.8000000000000004E-2</v>
      </c>
      <c r="CB70" s="118">
        <f t="shared" si="16"/>
        <v>0.316</v>
      </c>
      <c r="CC70" s="119">
        <f t="shared" si="17"/>
        <v>6305.1149529076038</v>
      </c>
      <c r="CR70" s="100" t="s">
        <v>342</v>
      </c>
      <c r="CS70" s="104" t="s">
        <v>342</v>
      </c>
    </row>
    <row r="71" spans="2:97" ht="39" customHeight="1" x14ac:dyDescent="0.25">
      <c r="B71" s="53"/>
      <c r="C71" s="568" t="s">
        <v>969</v>
      </c>
      <c r="D71" s="568"/>
      <c r="E71" s="207">
        <f>AVERAGE(CH9:CH17)</f>
        <v>125.88888888888889</v>
      </c>
      <c r="F71" s="204" t="s">
        <v>964</v>
      </c>
      <c r="G71" s="205"/>
      <c r="H71" s="205"/>
      <c r="I71" s="568" t="s">
        <v>970</v>
      </c>
      <c r="J71" s="568"/>
      <c r="K71" s="568"/>
      <c r="L71" s="205"/>
      <c r="M71" s="569" t="s">
        <v>971</v>
      </c>
      <c r="N71" s="569"/>
      <c r="O71" s="569"/>
      <c r="P71" s="569"/>
      <c r="Q71" s="569"/>
      <c r="R71" s="569"/>
      <c r="S71" s="569"/>
      <c r="T71" s="206"/>
      <c r="V71" s="519">
        <v>62</v>
      </c>
      <c r="W71" s="457" t="s">
        <v>342</v>
      </c>
      <c r="X71" s="520">
        <v>39269.4</v>
      </c>
      <c r="Y71" s="520">
        <v>502359372.46399999</v>
      </c>
      <c r="Z71" s="520">
        <v>102716862.75</v>
      </c>
      <c r="AA71" s="520">
        <v>14961.040999999999</v>
      </c>
      <c r="AB71" s="520">
        <v>5936.8190000000004</v>
      </c>
      <c r="AC71" s="520">
        <v>27696321.951000001</v>
      </c>
      <c r="AD71" s="520">
        <v>0.29099999999999998</v>
      </c>
      <c r="AE71" s="520">
        <v>0.11600000000000001</v>
      </c>
      <c r="AF71" s="520">
        <v>539.27499999999998</v>
      </c>
      <c r="AG71" s="520">
        <v>0.06</v>
      </c>
      <c r="AH71" s="520">
        <v>5.5E-2</v>
      </c>
      <c r="AI71" s="520">
        <v>2.4E-2</v>
      </c>
      <c r="AJ71" s="520">
        <v>110.265</v>
      </c>
      <c r="AK71" s="520">
        <v>0.22700000000000001</v>
      </c>
      <c r="AL71" s="520">
        <v>2.5999999999999999E-2</v>
      </c>
      <c r="AM71" s="520">
        <v>852.01099999999997</v>
      </c>
      <c r="AN71" s="520">
        <v>3.2000000000000001E-2</v>
      </c>
      <c r="AO71" s="520">
        <v>4.0000000000000001E-3</v>
      </c>
      <c r="AP71" s="520">
        <v>119.10599999999999</v>
      </c>
      <c r="AQ71" s="520">
        <v>203345.326</v>
      </c>
      <c r="AR71" s="520">
        <v>389733.11200000002</v>
      </c>
      <c r="AS71" s="520">
        <v>57465432.703000002</v>
      </c>
      <c r="AT71" s="520">
        <v>1594279.338</v>
      </c>
      <c r="AU71" s="520">
        <v>2E-3</v>
      </c>
      <c r="AV71" s="520">
        <v>4.0000000000000001E-3</v>
      </c>
      <c r="AW71" s="520">
        <v>0.55900000000000005</v>
      </c>
      <c r="AX71" s="520">
        <v>1.6E-2</v>
      </c>
      <c r="AY71" s="520">
        <v>0.623</v>
      </c>
      <c r="AZ71" s="517">
        <f t="shared" si="5"/>
        <v>4890.7195860009851</v>
      </c>
      <c r="BA71" s="518">
        <f t="shared" si="6"/>
        <v>8421.3893169146741</v>
      </c>
      <c r="BY71" s="117" t="s">
        <v>972</v>
      </c>
      <c r="BZ71" s="118">
        <f t="shared" si="14"/>
        <v>949.63699999999994</v>
      </c>
      <c r="CA71" s="118">
        <f t="shared" si="15"/>
        <v>0.107</v>
      </c>
      <c r="CB71" s="118">
        <f t="shared" si="16"/>
        <v>0.23200000000000001</v>
      </c>
      <c r="CC71" s="119">
        <f t="shared" si="17"/>
        <v>7746.2676596359624</v>
      </c>
      <c r="CR71" s="100" t="s">
        <v>378</v>
      </c>
      <c r="CS71" s="104" t="s">
        <v>378</v>
      </c>
    </row>
    <row r="72" spans="2:97" ht="39" customHeight="1" x14ac:dyDescent="0.25">
      <c r="B72" s="53"/>
      <c r="C72" s="568" t="s">
        <v>973</v>
      </c>
      <c r="D72" s="568"/>
      <c r="E72" s="208">
        <v>91.5</v>
      </c>
      <c r="F72" s="204" t="s">
        <v>974</v>
      </c>
      <c r="G72" s="205"/>
      <c r="H72" s="205"/>
      <c r="I72" s="568" t="s">
        <v>975</v>
      </c>
      <c r="J72" s="568"/>
      <c r="K72" s="568"/>
      <c r="L72" s="205"/>
      <c r="M72" s="569" t="s">
        <v>976</v>
      </c>
      <c r="N72" s="569"/>
      <c r="O72" s="569"/>
      <c r="P72" s="569"/>
      <c r="Q72" s="569"/>
      <c r="R72" s="569"/>
      <c r="S72" s="569"/>
      <c r="T72" s="206"/>
      <c r="V72" s="519">
        <v>63</v>
      </c>
      <c r="W72" s="457" t="s">
        <v>378</v>
      </c>
      <c r="X72" s="520">
        <v>80127.8</v>
      </c>
      <c r="Y72" s="520">
        <v>1070279319.821</v>
      </c>
      <c r="Z72" s="520">
        <v>269253053.412</v>
      </c>
      <c r="AA72" s="520">
        <v>76424.856</v>
      </c>
      <c r="AB72" s="520">
        <v>36116.133999999998</v>
      </c>
      <c r="AC72" s="520">
        <v>85048260.979000002</v>
      </c>
      <c r="AD72" s="520">
        <v>0.56799999999999995</v>
      </c>
      <c r="AE72" s="520">
        <v>0.26800000000000002</v>
      </c>
      <c r="AF72" s="520">
        <v>631.73500000000001</v>
      </c>
      <c r="AG72" s="520">
        <v>0.14299999999999999</v>
      </c>
      <c r="AH72" s="520">
        <v>0.13900000000000001</v>
      </c>
      <c r="AI72" s="520">
        <v>6.7000000000000004E-2</v>
      </c>
      <c r="AJ72" s="520">
        <v>158.92699999999999</v>
      </c>
      <c r="AK72" s="520">
        <v>1.3089999999999999</v>
      </c>
      <c r="AL72" s="520">
        <v>0.61099999999999999</v>
      </c>
      <c r="AM72" s="520">
        <v>1515.2719999999999</v>
      </c>
      <c r="AN72" s="520">
        <v>0.14099999999999999</v>
      </c>
      <c r="AO72" s="520">
        <v>6.6000000000000003E-2</v>
      </c>
      <c r="AP72" s="520">
        <v>162.89699999999999</v>
      </c>
      <c r="AQ72" s="520">
        <v>44073818.884999998</v>
      </c>
      <c r="AR72" s="520">
        <v>557911.30900000001</v>
      </c>
      <c r="AS72" s="520">
        <v>66832940.434</v>
      </c>
      <c r="AT72" s="520">
        <v>698501.56700000004</v>
      </c>
      <c r="AU72" s="520">
        <v>0.16400000000000001</v>
      </c>
      <c r="AV72" s="520">
        <v>2E-3</v>
      </c>
      <c r="AW72" s="520">
        <v>0.248</v>
      </c>
      <c r="AX72" s="520">
        <v>3.0000000000000001E-3</v>
      </c>
      <c r="AY72" s="520">
        <v>0.42699999999999999</v>
      </c>
      <c r="AZ72" s="517">
        <f t="shared" si="5"/>
        <v>3974.9941783698264</v>
      </c>
      <c r="BA72" s="518">
        <f t="shared" si="6"/>
        <v>9542.1634291893788</v>
      </c>
      <c r="BY72" s="117" t="s">
        <v>977</v>
      </c>
      <c r="BZ72" s="118">
        <f t="shared" si="14"/>
        <v>1194.4459999999999</v>
      </c>
      <c r="CA72" s="118">
        <f t="shared" si="15"/>
        <v>0.217</v>
      </c>
      <c r="CB72" s="118">
        <f t="shared" si="16"/>
        <v>0.39500000000000002</v>
      </c>
      <c r="CC72" s="119">
        <f t="shared" si="17"/>
        <v>8768.8608151613753</v>
      </c>
      <c r="CR72" s="100" t="s">
        <v>475</v>
      </c>
      <c r="CS72" s="104" t="s">
        <v>475</v>
      </c>
    </row>
    <row r="73" spans="2:97" ht="39" customHeight="1" x14ac:dyDescent="0.25">
      <c r="B73" s="53"/>
      <c r="C73" s="568" t="s">
        <v>978</v>
      </c>
      <c r="D73" s="568"/>
      <c r="E73" s="203">
        <v>12500</v>
      </c>
      <c r="F73" s="204" t="s">
        <v>979</v>
      </c>
      <c r="G73" s="205"/>
      <c r="H73" s="205"/>
      <c r="I73" s="568" t="s">
        <v>975</v>
      </c>
      <c r="J73" s="568"/>
      <c r="K73" s="568"/>
      <c r="L73" s="205"/>
      <c r="M73" s="569" t="s">
        <v>976</v>
      </c>
      <c r="N73" s="569"/>
      <c r="O73" s="569"/>
      <c r="P73" s="569"/>
      <c r="Q73" s="569"/>
      <c r="R73" s="569"/>
      <c r="S73" s="569"/>
      <c r="T73" s="206"/>
      <c r="V73" s="519">
        <v>64</v>
      </c>
      <c r="W73" s="457" t="s">
        <v>475</v>
      </c>
      <c r="X73" s="520">
        <v>12789.9</v>
      </c>
      <c r="Y73" s="520">
        <v>252215160.57100001</v>
      </c>
      <c r="Z73" s="520">
        <v>34602268.097000003</v>
      </c>
      <c r="AA73" s="520">
        <v>4020.2579999999998</v>
      </c>
      <c r="AB73" s="520">
        <v>411.95699999999999</v>
      </c>
      <c r="AC73" s="520">
        <v>14956294.376</v>
      </c>
      <c r="AD73" s="520">
        <v>0.23200000000000001</v>
      </c>
      <c r="AE73" s="520">
        <v>2.4E-2</v>
      </c>
      <c r="AF73" s="520">
        <v>864.46900000000005</v>
      </c>
      <c r="AG73" s="520">
        <v>3.2000000000000001E-2</v>
      </c>
      <c r="AH73" s="520">
        <v>3.4000000000000002E-2</v>
      </c>
      <c r="AI73" s="520">
        <v>3.0000000000000001E-3</v>
      </c>
      <c r="AJ73" s="520">
        <v>118.599</v>
      </c>
      <c r="AK73" s="520">
        <v>0.20399999999999999</v>
      </c>
      <c r="AL73" s="520">
        <v>6.0000000000000001E-3</v>
      </c>
      <c r="AM73" s="520">
        <v>862.98</v>
      </c>
      <c r="AN73" s="520">
        <v>2.8000000000000001E-2</v>
      </c>
      <c r="AO73" s="520">
        <v>1E-3</v>
      </c>
      <c r="AP73" s="520">
        <v>118.73099999999999</v>
      </c>
      <c r="AQ73" s="520">
        <v>0</v>
      </c>
      <c r="AR73" s="520">
        <v>159815.32</v>
      </c>
      <c r="AS73" s="520">
        <v>33991490.674999997</v>
      </c>
      <c r="AT73" s="520">
        <v>248637.79300000001</v>
      </c>
      <c r="AU73" s="520">
        <v>0</v>
      </c>
      <c r="AV73" s="520">
        <v>5.0000000000000001E-3</v>
      </c>
      <c r="AW73" s="520">
        <v>0.98199999999999998</v>
      </c>
      <c r="AX73" s="520">
        <v>7.0000000000000001E-3</v>
      </c>
      <c r="AY73" s="520">
        <v>0.999</v>
      </c>
      <c r="AZ73" s="517">
        <f t="shared" si="5"/>
        <v>7288.9777012295599</v>
      </c>
      <c r="BA73" s="518">
        <f t="shared" si="6"/>
        <v>7331.8480438616944</v>
      </c>
      <c r="BY73" s="117" t="s">
        <v>980</v>
      </c>
      <c r="BZ73" s="118">
        <f t="shared" si="14"/>
        <v>1650.194</v>
      </c>
      <c r="CA73" s="118">
        <f t="shared" si="15"/>
        <v>5.35</v>
      </c>
      <c r="CB73" s="118">
        <f t="shared" si="16"/>
        <v>6.0140000000000002</v>
      </c>
      <c r="CC73" s="119">
        <f t="shared" si="17"/>
        <v>11070.39638190699</v>
      </c>
      <c r="CR73" s="100" t="s">
        <v>911</v>
      </c>
      <c r="CS73" s="104" t="s">
        <v>911</v>
      </c>
    </row>
    <row r="74" spans="2:97" ht="39" customHeight="1" x14ac:dyDescent="0.25">
      <c r="B74" s="53"/>
      <c r="C74" s="568" t="s">
        <v>981</v>
      </c>
      <c r="D74" s="568"/>
      <c r="E74" s="208">
        <v>0.1</v>
      </c>
      <c r="F74" s="204" t="s">
        <v>979</v>
      </c>
      <c r="G74" s="205"/>
      <c r="H74" s="205"/>
      <c r="I74" s="568" t="s">
        <v>975</v>
      </c>
      <c r="J74" s="568"/>
      <c r="K74" s="568"/>
      <c r="L74" s="205"/>
      <c r="M74" s="569" t="s">
        <v>976</v>
      </c>
      <c r="N74" s="569"/>
      <c r="O74" s="569"/>
      <c r="P74" s="569"/>
      <c r="Q74" s="569"/>
      <c r="R74" s="569"/>
      <c r="S74" s="569"/>
      <c r="T74" s="206"/>
      <c r="V74" s="519">
        <v>65</v>
      </c>
      <c r="W74" s="457" t="s">
        <v>911</v>
      </c>
      <c r="X74" s="520">
        <v>5832.8</v>
      </c>
      <c r="Y74" s="520">
        <v>98137990.312000006</v>
      </c>
      <c r="Z74" s="520">
        <v>9823461.8080000002</v>
      </c>
      <c r="AA74" s="520">
        <v>4072.7260000000001</v>
      </c>
      <c r="AB74" s="520">
        <v>1624.36</v>
      </c>
      <c r="AC74" s="520">
        <v>5799143.1409999998</v>
      </c>
      <c r="AD74" s="520">
        <v>0.82899999999999996</v>
      </c>
      <c r="AE74" s="520">
        <v>0.33100000000000002</v>
      </c>
      <c r="AF74" s="520">
        <v>1180.672</v>
      </c>
      <c r="AG74" s="520">
        <v>8.3000000000000004E-2</v>
      </c>
      <c r="AH74" s="520">
        <v>7.6999999999999999E-2</v>
      </c>
      <c r="AI74" s="520">
        <v>3.3000000000000002E-2</v>
      </c>
      <c r="AJ74" s="520">
        <v>118.18300000000001</v>
      </c>
      <c r="AK74" s="520">
        <v>0.54200000000000004</v>
      </c>
      <c r="AL74" s="520">
        <v>4.3999999999999997E-2</v>
      </c>
      <c r="AM74" s="520">
        <v>1117.979</v>
      </c>
      <c r="AN74" s="520">
        <v>5.8000000000000003E-2</v>
      </c>
      <c r="AO74" s="520">
        <v>5.0000000000000001E-3</v>
      </c>
      <c r="AP74" s="520">
        <v>119.788</v>
      </c>
      <c r="AQ74" s="520">
        <v>0</v>
      </c>
      <c r="AR74" s="520">
        <v>148764.20499999999</v>
      </c>
      <c r="AS74" s="520">
        <v>8563061.8049999997</v>
      </c>
      <c r="AT74" s="520">
        <v>474533.33100000001</v>
      </c>
      <c r="AU74" s="520">
        <v>0</v>
      </c>
      <c r="AV74" s="520">
        <v>1.4999999999999999E-2</v>
      </c>
      <c r="AW74" s="520">
        <v>0.872</v>
      </c>
      <c r="AX74" s="520">
        <v>4.8000000000000001E-2</v>
      </c>
      <c r="AY74" s="520">
        <v>0.97499999999999998</v>
      </c>
      <c r="AZ74" s="517">
        <f t="shared" ref="AZ74:AZ94" si="18">Y74/Z74*1000</f>
        <v>9990.163572690708</v>
      </c>
      <c r="BA74" s="518">
        <f t="shared" ref="BA74:BA94" si="19">Y74/(SUM(AQ74:AT74))*1000</f>
        <v>10683.012352238007</v>
      </c>
      <c r="BY74" s="117" t="s">
        <v>982</v>
      </c>
      <c r="BZ74" s="118">
        <f t="shared" si="14"/>
        <v>1641.0650000000001</v>
      </c>
      <c r="CA74" s="118">
        <f t="shared" si="15"/>
        <v>1.3520000000000001</v>
      </c>
      <c r="CB74" s="118">
        <f t="shared" si="16"/>
        <v>1</v>
      </c>
      <c r="CC74" s="119">
        <f t="shared" si="17"/>
        <v>9226.6262817259067</v>
      </c>
      <c r="CR74" s="100" t="s">
        <v>469</v>
      </c>
      <c r="CS74" s="104" t="s">
        <v>469</v>
      </c>
    </row>
    <row r="75" spans="2:97" ht="39" customHeight="1" x14ac:dyDescent="0.25">
      <c r="B75" s="53"/>
      <c r="C75" s="568" t="s">
        <v>983</v>
      </c>
      <c r="D75" s="568"/>
      <c r="E75" s="208">
        <v>13</v>
      </c>
      <c r="F75" s="204" t="s">
        <v>979</v>
      </c>
      <c r="G75" s="205"/>
      <c r="H75" s="205"/>
      <c r="I75" s="568" t="s">
        <v>975</v>
      </c>
      <c r="J75" s="568"/>
      <c r="K75" s="568"/>
      <c r="L75" s="205"/>
      <c r="M75" s="569" t="s">
        <v>976</v>
      </c>
      <c r="N75" s="569"/>
      <c r="O75" s="569"/>
      <c r="P75" s="569"/>
      <c r="Q75" s="569"/>
      <c r="R75" s="569"/>
      <c r="S75" s="569"/>
      <c r="T75" s="206"/>
      <c r="V75" s="519">
        <v>66</v>
      </c>
      <c r="W75" s="457" t="s">
        <v>469</v>
      </c>
      <c r="X75" s="520">
        <v>26425.4</v>
      </c>
      <c r="Y75" s="520">
        <v>188491604.949</v>
      </c>
      <c r="Z75" s="520">
        <v>85283183.253999993</v>
      </c>
      <c r="AA75" s="520">
        <v>3545.1019999999999</v>
      </c>
      <c r="AB75" s="520">
        <v>1141.357</v>
      </c>
      <c r="AC75" s="520">
        <v>10323051.399</v>
      </c>
      <c r="AD75" s="520">
        <v>8.3000000000000004E-2</v>
      </c>
      <c r="AE75" s="520">
        <v>2.7E-2</v>
      </c>
      <c r="AF75" s="520">
        <v>242.089</v>
      </c>
      <c r="AG75" s="520">
        <v>3.7999999999999999E-2</v>
      </c>
      <c r="AH75" s="520">
        <v>3.5000000000000003E-2</v>
      </c>
      <c r="AI75" s="520">
        <v>1.2E-2</v>
      </c>
      <c r="AJ75" s="520">
        <v>109.533</v>
      </c>
      <c r="AK75" s="520">
        <v>0.219</v>
      </c>
      <c r="AL75" s="520">
        <v>4.2999999999999997E-2</v>
      </c>
      <c r="AM75" s="520">
        <v>914.08799999999997</v>
      </c>
      <c r="AN75" s="520">
        <v>2.8000000000000001E-2</v>
      </c>
      <c r="AO75" s="520">
        <v>6.0000000000000001E-3</v>
      </c>
      <c r="AP75" s="520">
        <v>115.723</v>
      </c>
      <c r="AQ75" s="520">
        <v>0</v>
      </c>
      <c r="AR75" s="520">
        <v>113096.45699999999</v>
      </c>
      <c r="AS75" s="520">
        <v>21749608.456</v>
      </c>
      <c r="AT75" s="520">
        <v>269550.5</v>
      </c>
      <c r="AU75" s="520">
        <v>0</v>
      </c>
      <c r="AV75" s="520">
        <v>1E-3</v>
      </c>
      <c r="AW75" s="520">
        <v>0.255</v>
      </c>
      <c r="AX75" s="520">
        <v>3.0000000000000001E-3</v>
      </c>
      <c r="AY75" s="520">
        <v>0.27200000000000002</v>
      </c>
      <c r="AZ75" s="517">
        <f t="shared" si="18"/>
        <v>2210.1849128639233</v>
      </c>
      <c r="BA75" s="518">
        <f t="shared" si="19"/>
        <v>8516.6017394812898</v>
      </c>
      <c r="BY75" s="117" t="s">
        <v>984</v>
      </c>
      <c r="BZ75" s="118">
        <f t="shared" si="14"/>
        <v>981.77499999999998</v>
      </c>
      <c r="CA75" s="118">
        <f t="shared" si="15"/>
        <v>5.0000000000000001E-3</v>
      </c>
      <c r="CB75" s="118">
        <f t="shared" si="16"/>
        <v>0.22600000000000001</v>
      </c>
      <c r="CC75" s="119">
        <f t="shared" si="17"/>
        <v>8751.7640056197961</v>
      </c>
      <c r="CR75" s="100" t="s">
        <v>345</v>
      </c>
      <c r="CS75" s="104" t="s">
        <v>345</v>
      </c>
    </row>
    <row r="76" spans="2:97" ht="39" customHeight="1" x14ac:dyDescent="0.25">
      <c r="B76" s="53"/>
      <c r="C76" s="568" t="s">
        <v>985</v>
      </c>
      <c r="D76" s="568"/>
      <c r="E76" s="208">
        <v>140</v>
      </c>
      <c r="F76" s="204" t="s">
        <v>974</v>
      </c>
      <c r="G76" s="205"/>
      <c r="H76" s="205"/>
      <c r="I76" s="568" t="s">
        <v>986</v>
      </c>
      <c r="J76" s="568"/>
      <c r="K76" s="568"/>
      <c r="L76" s="205"/>
      <c r="M76" s="569" t="s">
        <v>987</v>
      </c>
      <c r="N76" s="569"/>
      <c r="O76" s="569"/>
      <c r="P76" s="569"/>
      <c r="Q76" s="569"/>
      <c r="R76" s="569"/>
      <c r="S76" s="569"/>
      <c r="T76" s="206"/>
      <c r="V76" s="519">
        <v>67</v>
      </c>
      <c r="W76" s="457" t="s">
        <v>345</v>
      </c>
      <c r="X76" s="520">
        <v>76472.899999999994</v>
      </c>
      <c r="Y76" s="520">
        <v>1346005571.1589999</v>
      </c>
      <c r="Z76" s="520">
        <v>284874108.50999999</v>
      </c>
      <c r="AA76" s="520">
        <v>28833.010999999999</v>
      </c>
      <c r="AB76" s="520">
        <v>30183.773000000001</v>
      </c>
      <c r="AC76" s="520">
        <v>85021258.144999996</v>
      </c>
      <c r="AD76" s="520">
        <v>0.20200000000000001</v>
      </c>
      <c r="AE76" s="520">
        <v>0.21199999999999999</v>
      </c>
      <c r="AF76" s="520">
        <v>596.904</v>
      </c>
      <c r="AG76" s="520">
        <v>4.2999999999999997E-2</v>
      </c>
      <c r="AH76" s="520">
        <v>4.2000000000000003E-2</v>
      </c>
      <c r="AI76" s="520">
        <v>4.4999999999999998E-2</v>
      </c>
      <c r="AJ76" s="520">
        <v>126.331</v>
      </c>
      <c r="AK76" s="520">
        <v>0.27</v>
      </c>
      <c r="AL76" s="520">
        <v>0.29799999999999999</v>
      </c>
      <c r="AM76" s="520">
        <v>981.029</v>
      </c>
      <c r="AN76" s="520">
        <v>3.5000000000000003E-2</v>
      </c>
      <c r="AO76" s="520">
        <v>3.9E-2</v>
      </c>
      <c r="AP76" s="520">
        <v>128.12</v>
      </c>
      <c r="AQ76" s="520">
        <v>13525528.085999999</v>
      </c>
      <c r="AR76" s="520">
        <v>161138.85200000001</v>
      </c>
      <c r="AS76" s="520">
        <v>154199477.75299999</v>
      </c>
      <c r="AT76" s="520">
        <v>2056177.5109999999</v>
      </c>
      <c r="AU76" s="520">
        <v>4.7E-2</v>
      </c>
      <c r="AV76" s="520">
        <v>1E-3</v>
      </c>
      <c r="AW76" s="520">
        <v>0.54100000000000004</v>
      </c>
      <c r="AX76" s="520">
        <v>7.0000000000000001E-3</v>
      </c>
      <c r="AY76" s="520">
        <v>0.60499999999999998</v>
      </c>
      <c r="AZ76" s="517">
        <f t="shared" si="18"/>
        <v>4724.9136757254682</v>
      </c>
      <c r="BA76" s="518">
        <f t="shared" si="19"/>
        <v>7920.3670617086527</v>
      </c>
      <c r="BY76" s="117" t="s">
        <v>988</v>
      </c>
      <c r="BZ76" s="118">
        <f t="shared" si="14"/>
        <v>1498.7180000000001</v>
      </c>
      <c r="CA76" s="118">
        <f t="shared" si="15"/>
        <v>0.85499999999999998</v>
      </c>
      <c r="CB76" s="118">
        <f t="shared" si="16"/>
        <v>0.53200000000000003</v>
      </c>
      <c r="CC76" s="119">
        <f t="shared" si="17"/>
        <v>9057.4138093748934</v>
      </c>
      <c r="CD76" s="26"/>
      <c r="CR76" s="100" t="s">
        <v>414</v>
      </c>
      <c r="CS76" s="104" t="s">
        <v>414</v>
      </c>
    </row>
    <row r="77" spans="2:97" ht="39" customHeight="1" x14ac:dyDescent="0.25">
      <c r="B77" s="53"/>
      <c r="C77" s="568" t="s">
        <v>989</v>
      </c>
      <c r="D77" s="568"/>
      <c r="E77" s="203">
        <v>22300</v>
      </c>
      <c r="F77" s="204" t="s">
        <v>979</v>
      </c>
      <c r="G77" s="205"/>
      <c r="H77" s="205"/>
      <c r="I77" s="568" t="s">
        <v>990</v>
      </c>
      <c r="J77" s="568"/>
      <c r="K77" s="568"/>
      <c r="L77" s="205"/>
      <c r="M77" s="569" t="s">
        <v>987</v>
      </c>
      <c r="N77" s="569"/>
      <c r="O77" s="569"/>
      <c r="P77" s="569"/>
      <c r="Q77" s="569"/>
      <c r="R77" s="569"/>
      <c r="S77" s="569"/>
      <c r="T77" s="206"/>
      <c r="V77" s="519">
        <v>68</v>
      </c>
      <c r="W77" s="457" t="s">
        <v>414</v>
      </c>
      <c r="X77" s="520">
        <v>28925.4</v>
      </c>
      <c r="Y77" s="520">
        <v>630197074.31400001</v>
      </c>
      <c r="Z77" s="520">
        <v>91629481.603</v>
      </c>
      <c r="AA77" s="520">
        <v>23798.385999999999</v>
      </c>
      <c r="AB77" s="520">
        <v>25854.171999999999</v>
      </c>
      <c r="AC77" s="520">
        <v>44468548.656000003</v>
      </c>
      <c r="AD77" s="520">
        <v>0.51900000000000002</v>
      </c>
      <c r="AE77" s="520">
        <v>0.56399999999999995</v>
      </c>
      <c r="AF77" s="520">
        <v>970.61699999999996</v>
      </c>
      <c r="AG77" s="520">
        <v>7.5999999999999998E-2</v>
      </c>
      <c r="AH77" s="520">
        <v>7.0000000000000007E-2</v>
      </c>
      <c r="AI77" s="520">
        <v>8.2000000000000003E-2</v>
      </c>
      <c r="AJ77" s="520">
        <v>141.126</v>
      </c>
      <c r="AK77" s="520">
        <v>0.62</v>
      </c>
      <c r="AL77" s="520">
        <v>0.70399999999999996</v>
      </c>
      <c r="AM77" s="520">
        <v>1230.8489999999999</v>
      </c>
      <c r="AN77" s="520">
        <v>7.2999999999999995E-2</v>
      </c>
      <c r="AO77" s="520">
        <v>8.3000000000000004E-2</v>
      </c>
      <c r="AP77" s="520">
        <v>145.51900000000001</v>
      </c>
      <c r="AQ77" s="520">
        <v>23554195.386</v>
      </c>
      <c r="AR77" s="520">
        <v>1339754.118</v>
      </c>
      <c r="AS77" s="520">
        <v>45647800.803999998</v>
      </c>
      <c r="AT77" s="520">
        <v>1500003.125</v>
      </c>
      <c r="AU77" s="520">
        <v>0.25700000000000001</v>
      </c>
      <c r="AV77" s="520">
        <v>1.4999999999999999E-2</v>
      </c>
      <c r="AW77" s="520">
        <v>0.498</v>
      </c>
      <c r="AX77" s="520">
        <v>1.6E-2</v>
      </c>
      <c r="AY77" s="520">
        <v>0.80100000000000005</v>
      </c>
      <c r="AZ77" s="517">
        <f t="shared" si="18"/>
        <v>6877.6671360472583</v>
      </c>
      <c r="BA77" s="518">
        <f t="shared" si="19"/>
        <v>8747.6642958183074</v>
      </c>
      <c r="BY77" s="117" t="s">
        <v>991</v>
      </c>
      <c r="BZ77" s="118">
        <f t="shared" si="14"/>
        <v>1682.347</v>
      </c>
      <c r="CA77" s="118">
        <f t="shared" si="15"/>
        <v>0.65500000000000003</v>
      </c>
      <c r="CB77" s="118">
        <f t="shared" si="16"/>
        <v>0.95</v>
      </c>
      <c r="CC77" s="119">
        <f t="shared" si="17"/>
        <v>9191.9319632137904</v>
      </c>
      <c r="CD77" s="26"/>
      <c r="CR77" s="100" t="s">
        <v>382</v>
      </c>
      <c r="CS77" s="104" t="s">
        <v>382</v>
      </c>
    </row>
    <row r="78" spans="2:97" ht="39" customHeight="1" x14ac:dyDescent="0.25">
      <c r="B78" s="53"/>
      <c r="C78" s="568" t="s">
        <v>992</v>
      </c>
      <c r="D78" s="568"/>
      <c r="E78" s="208">
        <v>142</v>
      </c>
      <c r="F78" s="204" t="s">
        <v>979</v>
      </c>
      <c r="G78" s="205"/>
      <c r="H78" s="205"/>
      <c r="I78" s="568" t="s">
        <v>993</v>
      </c>
      <c r="J78" s="568"/>
      <c r="K78" s="568"/>
      <c r="L78" s="205"/>
      <c r="M78" s="569" t="s">
        <v>987</v>
      </c>
      <c r="N78" s="569"/>
      <c r="O78" s="569"/>
      <c r="P78" s="569"/>
      <c r="Q78" s="569"/>
      <c r="R78" s="569"/>
      <c r="S78" s="569"/>
      <c r="T78" s="206"/>
      <c r="V78" s="519">
        <v>69</v>
      </c>
      <c r="W78" s="457" t="s">
        <v>382</v>
      </c>
      <c r="X78" s="520">
        <v>141910.20000000001</v>
      </c>
      <c r="Y78" s="520">
        <v>2944467945.4229999</v>
      </c>
      <c r="Z78" s="520">
        <v>524352082.167</v>
      </c>
      <c r="AA78" s="520">
        <v>110512.788</v>
      </c>
      <c r="AB78" s="520">
        <v>108122.61500000001</v>
      </c>
      <c r="AC78" s="520">
        <v>238953647.79300001</v>
      </c>
      <c r="AD78" s="520">
        <v>0.42199999999999999</v>
      </c>
      <c r="AE78" s="520">
        <v>0.41199999999999998</v>
      </c>
      <c r="AF78" s="520">
        <v>911.42399999999998</v>
      </c>
      <c r="AG78" s="520">
        <v>7.4999999999999997E-2</v>
      </c>
      <c r="AH78" s="520">
        <v>6.0999999999999999E-2</v>
      </c>
      <c r="AI78" s="520">
        <v>7.2999999999999995E-2</v>
      </c>
      <c r="AJ78" s="520">
        <v>162.30699999999999</v>
      </c>
      <c r="AK78" s="520">
        <v>0.65100000000000002</v>
      </c>
      <c r="AL78" s="520">
        <v>0.64900000000000002</v>
      </c>
      <c r="AM78" s="520">
        <v>1426.364</v>
      </c>
      <c r="AN78" s="520">
        <v>7.3999999999999996E-2</v>
      </c>
      <c r="AO78" s="520">
        <v>7.3999999999999996E-2</v>
      </c>
      <c r="AP78" s="520">
        <v>162.577</v>
      </c>
      <c r="AQ78" s="520">
        <v>131181429.27500001</v>
      </c>
      <c r="AR78" s="520">
        <v>1329401.0279999999</v>
      </c>
      <c r="AS78" s="520">
        <v>198423277.38600001</v>
      </c>
      <c r="AT78" s="520">
        <v>3871616.2230000002</v>
      </c>
      <c r="AU78" s="520">
        <v>0.25</v>
      </c>
      <c r="AV78" s="520">
        <v>3.0000000000000001E-3</v>
      </c>
      <c r="AW78" s="520">
        <v>0.378</v>
      </c>
      <c r="AX78" s="520">
        <v>7.0000000000000001E-3</v>
      </c>
      <c r="AY78" s="520">
        <v>0.64200000000000002</v>
      </c>
      <c r="AZ78" s="517">
        <f t="shared" si="18"/>
        <v>5615.4405514217478</v>
      </c>
      <c r="BA78" s="518">
        <f t="shared" si="19"/>
        <v>8794.5567686797403</v>
      </c>
      <c r="BY78" s="117" t="s">
        <v>994</v>
      </c>
      <c r="BZ78" s="118">
        <f t="shared" si="14"/>
        <v>2054.4630000000002</v>
      </c>
      <c r="CA78" s="118">
        <f t="shared" si="15"/>
        <v>0.317</v>
      </c>
      <c r="CB78" s="118">
        <f t="shared" si="16"/>
        <v>1.3979999999999999</v>
      </c>
      <c r="CC78" s="119">
        <f t="shared" si="17"/>
        <v>10839.620412629345</v>
      </c>
      <c r="CD78" s="26"/>
      <c r="CR78" s="100" t="s">
        <v>336</v>
      </c>
      <c r="CS78" s="104" t="s">
        <v>336</v>
      </c>
    </row>
    <row r="79" spans="2:97" ht="39" customHeight="1" x14ac:dyDescent="0.25">
      <c r="B79" s="53"/>
      <c r="C79" s="568" t="s">
        <v>995</v>
      </c>
      <c r="D79" s="568"/>
      <c r="E79" s="208">
        <v>24</v>
      </c>
      <c r="F79" s="204" t="s">
        <v>979</v>
      </c>
      <c r="G79" s="205"/>
      <c r="H79" s="205"/>
      <c r="I79" s="568" t="s">
        <v>996</v>
      </c>
      <c r="J79" s="568"/>
      <c r="K79" s="568"/>
      <c r="L79" s="205"/>
      <c r="M79" s="569" t="s">
        <v>987</v>
      </c>
      <c r="N79" s="569"/>
      <c r="O79" s="569"/>
      <c r="P79" s="569"/>
      <c r="Q79" s="569"/>
      <c r="R79" s="569"/>
      <c r="S79" s="569"/>
      <c r="T79" s="206"/>
      <c r="V79" s="519">
        <v>70</v>
      </c>
      <c r="W79" s="457" t="s">
        <v>336</v>
      </c>
      <c r="X79" s="520">
        <v>24805.7</v>
      </c>
      <c r="Y79" s="520">
        <v>403363462.42699999</v>
      </c>
      <c r="Z79" s="520">
        <v>67674810.481000006</v>
      </c>
      <c r="AA79" s="520">
        <v>17789.061000000002</v>
      </c>
      <c r="AB79" s="520">
        <v>11143.956</v>
      </c>
      <c r="AC79" s="520">
        <v>35075879.989</v>
      </c>
      <c r="AD79" s="520">
        <v>0.52600000000000002</v>
      </c>
      <c r="AE79" s="520">
        <v>0.32900000000000001</v>
      </c>
      <c r="AF79" s="520">
        <v>1036.6010000000001</v>
      </c>
      <c r="AG79" s="520">
        <v>8.7999999999999995E-2</v>
      </c>
      <c r="AH79" s="520">
        <v>8.5999999999999993E-2</v>
      </c>
      <c r="AI79" s="520">
        <v>5.5E-2</v>
      </c>
      <c r="AJ79" s="520">
        <v>173.917</v>
      </c>
      <c r="AK79" s="520">
        <v>0.89700000000000002</v>
      </c>
      <c r="AL79" s="520">
        <v>0.56599999999999995</v>
      </c>
      <c r="AM79" s="520">
        <v>1783.758</v>
      </c>
      <c r="AN79" s="520">
        <v>8.7999999999999995E-2</v>
      </c>
      <c r="AO79" s="520">
        <v>5.5E-2</v>
      </c>
      <c r="AP79" s="520">
        <v>174.636</v>
      </c>
      <c r="AQ79" s="520">
        <v>21439207.649999999</v>
      </c>
      <c r="AR79" s="520">
        <v>47422.453999999998</v>
      </c>
      <c r="AS79" s="520">
        <v>17841440.375</v>
      </c>
      <c r="AT79" s="520">
        <v>0</v>
      </c>
      <c r="AU79" s="520">
        <v>0.317</v>
      </c>
      <c r="AV79" s="520">
        <v>1E-3</v>
      </c>
      <c r="AW79" s="520">
        <v>0.26400000000000001</v>
      </c>
      <c r="AX79" s="520">
        <v>0</v>
      </c>
      <c r="AY79" s="520">
        <v>0.58299999999999996</v>
      </c>
      <c r="AZ79" s="517">
        <f t="shared" si="18"/>
        <v>5960.3190546096321</v>
      </c>
      <c r="BA79" s="518">
        <f t="shared" si="19"/>
        <v>10256.375599265259</v>
      </c>
      <c r="BY79" s="117" t="s">
        <v>997</v>
      </c>
      <c r="BZ79" s="118">
        <f t="shared" si="14"/>
        <v>1870.3589999999999</v>
      </c>
      <c r="CA79" s="118">
        <f t="shared" si="15"/>
        <v>1.1890000000000001</v>
      </c>
      <c r="CB79" s="118">
        <f t="shared" si="16"/>
        <v>1.028</v>
      </c>
      <c r="CC79" s="119">
        <f t="shared" si="17"/>
        <v>9975.3434141336784</v>
      </c>
      <c r="CD79" s="26"/>
      <c r="CR79" s="100" t="s">
        <v>394</v>
      </c>
      <c r="CS79" s="104" t="s">
        <v>394</v>
      </c>
    </row>
    <row r="80" spans="2:97" ht="39" customHeight="1" x14ac:dyDescent="0.25">
      <c r="B80" s="53"/>
      <c r="C80" s="568" t="s">
        <v>998</v>
      </c>
      <c r="D80" s="568"/>
      <c r="E80" s="209">
        <v>5.2999999999999999E-2</v>
      </c>
      <c r="F80" s="204" t="s">
        <v>999</v>
      </c>
      <c r="G80" s="205"/>
      <c r="H80" s="205"/>
      <c r="I80" s="568" t="s">
        <v>1000</v>
      </c>
      <c r="J80" s="568"/>
      <c r="K80" s="568"/>
      <c r="L80" s="205"/>
      <c r="M80" s="576" t="s">
        <v>1001</v>
      </c>
      <c r="N80" s="569"/>
      <c r="O80" s="569"/>
      <c r="P80" s="569"/>
      <c r="Q80" s="569"/>
      <c r="R80" s="569"/>
      <c r="S80" s="569"/>
      <c r="T80" s="206"/>
      <c r="V80" s="519">
        <v>71</v>
      </c>
      <c r="W80" s="457" t="s">
        <v>394</v>
      </c>
      <c r="X80" s="520">
        <v>27920.2</v>
      </c>
      <c r="Y80" s="520">
        <v>348588597.30699998</v>
      </c>
      <c r="Z80" s="520">
        <v>73458953.048999995</v>
      </c>
      <c r="AA80" s="520">
        <v>16956.454000000002</v>
      </c>
      <c r="AB80" s="520">
        <v>5045.1760000000004</v>
      </c>
      <c r="AC80" s="520">
        <v>31660769.923</v>
      </c>
      <c r="AD80" s="520">
        <v>0.46200000000000002</v>
      </c>
      <c r="AE80" s="520">
        <v>0.13700000000000001</v>
      </c>
      <c r="AF80" s="520">
        <v>861.99900000000002</v>
      </c>
      <c r="AG80" s="520">
        <v>9.7000000000000003E-2</v>
      </c>
      <c r="AH80" s="520">
        <v>9.5000000000000001E-2</v>
      </c>
      <c r="AI80" s="520">
        <v>2.9000000000000001E-2</v>
      </c>
      <c r="AJ80" s="520">
        <v>181.65100000000001</v>
      </c>
      <c r="AK80" s="520">
        <v>1.0069999999999999</v>
      </c>
      <c r="AL80" s="520">
        <v>0.29899999999999999</v>
      </c>
      <c r="AM80" s="520">
        <v>1880.77</v>
      </c>
      <c r="AN80" s="520">
        <v>9.8000000000000004E-2</v>
      </c>
      <c r="AO80" s="520">
        <v>2.9000000000000001E-2</v>
      </c>
      <c r="AP80" s="520">
        <v>182.07400000000001</v>
      </c>
      <c r="AQ80" s="520">
        <v>23239668.982999999</v>
      </c>
      <c r="AR80" s="520">
        <v>149995.78599999999</v>
      </c>
      <c r="AS80" s="520">
        <v>10273827.391000001</v>
      </c>
      <c r="AT80" s="520">
        <v>0</v>
      </c>
      <c r="AU80" s="520">
        <v>0.316</v>
      </c>
      <c r="AV80" s="520">
        <v>2E-3</v>
      </c>
      <c r="AW80" s="520">
        <v>0.14000000000000001</v>
      </c>
      <c r="AX80" s="520">
        <v>0</v>
      </c>
      <c r="AY80" s="520">
        <v>0.45900000000000002</v>
      </c>
      <c r="AZ80" s="517">
        <f t="shared" si="18"/>
        <v>4745.3521026154258</v>
      </c>
      <c r="BA80" s="518">
        <f t="shared" si="19"/>
        <v>10355.093157007748</v>
      </c>
      <c r="BY80" s="117" t="s">
        <v>1002</v>
      </c>
      <c r="BZ80" s="118">
        <f t="shared" si="14"/>
        <v>916.52200000000005</v>
      </c>
      <c r="CA80" s="118">
        <f t="shared" si="15"/>
        <v>0.19</v>
      </c>
      <c r="CB80" s="118">
        <f t="shared" si="16"/>
        <v>0.78500000000000003</v>
      </c>
      <c r="CC80" s="119">
        <f t="shared" si="17"/>
        <v>7371.8394495146367</v>
      </c>
      <c r="CD80" s="26"/>
      <c r="CR80" s="100" t="s">
        <v>406</v>
      </c>
      <c r="CS80" s="104" t="s">
        <v>406</v>
      </c>
    </row>
    <row r="81" spans="2:97" ht="39" customHeight="1" x14ac:dyDescent="0.25">
      <c r="B81" s="53"/>
      <c r="C81" s="577" t="s">
        <v>1003</v>
      </c>
      <c r="D81" s="577"/>
      <c r="E81" s="369">
        <v>4.5999999999999996</v>
      </c>
      <c r="F81" s="204" t="s">
        <v>1004</v>
      </c>
      <c r="G81" s="205"/>
      <c r="H81" s="205"/>
      <c r="I81" s="568" t="s">
        <v>1005</v>
      </c>
      <c r="J81" s="568"/>
      <c r="K81" s="568"/>
      <c r="L81" s="205"/>
      <c r="M81" s="576" t="s">
        <v>1006</v>
      </c>
      <c r="N81" s="569"/>
      <c r="O81" s="569"/>
      <c r="P81" s="569"/>
      <c r="Q81" s="569"/>
      <c r="R81" s="569"/>
      <c r="S81" s="569"/>
      <c r="T81" s="578"/>
      <c r="V81" s="519">
        <v>72</v>
      </c>
      <c r="W81" s="457" t="s">
        <v>406</v>
      </c>
      <c r="X81" s="520">
        <v>58598.400000000001</v>
      </c>
      <c r="Y81" s="520">
        <v>945309503.773</v>
      </c>
      <c r="Z81" s="520">
        <v>158074959.653</v>
      </c>
      <c r="AA81" s="520">
        <v>53225.995999999999</v>
      </c>
      <c r="AB81" s="520">
        <v>52040.372000000003</v>
      </c>
      <c r="AC81" s="520">
        <v>68923985.644999996</v>
      </c>
      <c r="AD81" s="520">
        <v>0.67300000000000004</v>
      </c>
      <c r="AE81" s="520">
        <v>0.65800000000000003</v>
      </c>
      <c r="AF81" s="520">
        <v>872.04200000000003</v>
      </c>
      <c r="AG81" s="520">
        <v>0.113</v>
      </c>
      <c r="AH81" s="520">
        <v>0.112</v>
      </c>
      <c r="AI81" s="520">
        <v>0.11</v>
      </c>
      <c r="AJ81" s="520">
        <v>145.82300000000001</v>
      </c>
      <c r="AK81" s="520">
        <v>1.0349999999999999</v>
      </c>
      <c r="AL81" s="520">
        <v>1.0049999999999999</v>
      </c>
      <c r="AM81" s="520">
        <v>1380.0060000000001</v>
      </c>
      <c r="AN81" s="520">
        <v>0.11</v>
      </c>
      <c r="AO81" s="520">
        <v>0.107</v>
      </c>
      <c r="AP81" s="520">
        <v>147.15</v>
      </c>
      <c r="AQ81" s="520">
        <v>25682670.022</v>
      </c>
      <c r="AR81" s="520">
        <v>850341.87899999996</v>
      </c>
      <c r="AS81" s="520">
        <v>72817309.207000002</v>
      </c>
      <c r="AT81" s="520">
        <v>283095.52</v>
      </c>
      <c r="AU81" s="520">
        <v>0.16200000000000001</v>
      </c>
      <c r="AV81" s="520">
        <v>5.0000000000000001E-3</v>
      </c>
      <c r="AW81" s="520">
        <v>0.46100000000000002</v>
      </c>
      <c r="AX81" s="520">
        <v>2E-3</v>
      </c>
      <c r="AY81" s="520">
        <v>0.64300000000000002</v>
      </c>
      <c r="AZ81" s="517">
        <f t="shared" si="18"/>
        <v>5980.1343985670264</v>
      </c>
      <c r="BA81" s="518">
        <f t="shared" si="19"/>
        <v>9487.876013551655</v>
      </c>
      <c r="BY81" s="117" t="s">
        <v>1007</v>
      </c>
      <c r="BZ81" s="118">
        <f t="shared" si="14"/>
        <v>861.47699999999998</v>
      </c>
      <c r="CA81" s="118">
        <f t="shared" si="15"/>
        <v>1.6E-2</v>
      </c>
      <c r="CB81" s="118">
        <f t="shared" si="16"/>
        <v>0.22600000000000001</v>
      </c>
      <c r="CC81" s="119">
        <f t="shared" si="17"/>
        <v>8845.8907810739565</v>
      </c>
      <c r="CD81" s="26"/>
      <c r="CR81" s="100" t="s">
        <v>314</v>
      </c>
      <c r="CS81" s="104" t="s">
        <v>314</v>
      </c>
    </row>
    <row r="82" spans="2:97" ht="39" customHeight="1" x14ac:dyDescent="0.25">
      <c r="B82" s="53"/>
      <c r="C82" s="577" t="s">
        <v>1008</v>
      </c>
      <c r="D82" s="577"/>
      <c r="E82" s="207">
        <v>4.798</v>
      </c>
      <c r="F82" s="204" t="s">
        <v>1004</v>
      </c>
      <c r="G82" s="205"/>
      <c r="H82" s="205"/>
      <c r="I82" s="568" t="s">
        <v>1009</v>
      </c>
      <c r="J82" s="568"/>
      <c r="K82" s="568"/>
      <c r="L82" s="205"/>
      <c r="M82" s="576" t="s">
        <v>1006</v>
      </c>
      <c r="N82" s="569"/>
      <c r="O82" s="569"/>
      <c r="P82" s="569"/>
      <c r="Q82" s="569"/>
      <c r="R82" s="569"/>
      <c r="S82" s="569"/>
      <c r="T82" s="578"/>
      <c r="V82" s="519">
        <v>73</v>
      </c>
      <c r="W82" s="457" t="s">
        <v>314</v>
      </c>
      <c r="X82" s="520">
        <v>48030.5</v>
      </c>
      <c r="Y82" s="520">
        <v>998065840.55799997</v>
      </c>
      <c r="Z82" s="520">
        <v>176359169.82600001</v>
      </c>
      <c r="AA82" s="520">
        <v>43011.014000000003</v>
      </c>
      <c r="AB82" s="520">
        <v>30918.967000000001</v>
      </c>
      <c r="AC82" s="520">
        <v>65228228.092</v>
      </c>
      <c r="AD82" s="520">
        <v>0.48799999999999999</v>
      </c>
      <c r="AE82" s="520">
        <v>0.35099999999999998</v>
      </c>
      <c r="AF82" s="520">
        <v>739.72</v>
      </c>
      <c r="AG82" s="520">
        <v>8.5999999999999993E-2</v>
      </c>
      <c r="AH82" s="520">
        <v>8.8999999999999996E-2</v>
      </c>
      <c r="AI82" s="520">
        <v>6.2E-2</v>
      </c>
      <c r="AJ82" s="520">
        <v>130.709</v>
      </c>
      <c r="AK82" s="520">
        <v>0.64500000000000002</v>
      </c>
      <c r="AL82" s="520">
        <v>0.45200000000000001</v>
      </c>
      <c r="AM82" s="520">
        <v>1002.079</v>
      </c>
      <c r="AN82" s="520">
        <v>8.5000000000000006E-2</v>
      </c>
      <c r="AO82" s="520">
        <v>0.06</v>
      </c>
      <c r="AP82" s="520">
        <v>132.59299999999999</v>
      </c>
      <c r="AQ82" s="520">
        <v>14512733.6</v>
      </c>
      <c r="AR82" s="520">
        <v>261575.28</v>
      </c>
      <c r="AS82" s="520">
        <v>115002121.84199999</v>
      </c>
      <c r="AT82" s="520">
        <v>2197986.679</v>
      </c>
      <c r="AU82" s="520">
        <v>8.2000000000000003E-2</v>
      </c>
      <c r="AV82" s="520">
        <v>1E-3</v>
      </c>
      <c r="AW82" s="520">
        <v>0.65200000000000002</v>
      </c>
      <c r="AX82" s="520">
        <v>1.2E-2</v>
      </c>
      <c r="AY82" s="520">
        <v>0.75800000000000001</v>
      </c>
      <c r="AZ82" s="517">
        <f t="shared" si="18"/>
        <v>5659.2795347285573</v>
      </c>
      <c r="BA82" s="518">
        <f t="shared" si="19"/>
        <v>7562.5705361169294</v>
      </c>
      <c r="BY82" s="117" t="s">
        <v>1010</v>
      </c>
      <c r="BZ82" s="118">
        <f t="shared" si="14"/>
        <v>1045.885</v>
      </c>
      <c r="CA82" s="118">
        <f t="shared" si="15"/>
        <v>0.17199999999999999</v>
      </c>
      <c r="CB82" s="118">
        <f t="shared" si="16"/>
        <v>0.28399999999999997</v>
      </c>
      <c r="CC82" s="119">
        <f t="shared" si="17"/>
        <v>8423.3431645371838</v>
      </c>
      <c r="CR82" s="100" t="s">
        <v>386</v>
      </c>
      <c r="CS82" s="104" t="s">
        <v>386</v>
      </c>
    </row>
    <row r="83" spans="2:97" ht="39" customHeight="1" x14ac:dyDescent="0.25">
      <c r="B83" s="53"/>
      <c r="C83" s="577" t="s">
        <v>1011</v>
      </c>
      <c r="D83" s="577"/>
      <c r="E83" s="210" t="s">
        <v>1012</v>
      </c>
      <c r="F83" s="210" t="s">
        <v>1012</v>
      </c>
      <c r="G83" s="210"/>
      <c r="H83" s="210"/>
      <c r="I83" s="568" t="s">
        <v>1013</v>
      </c>
      <c r="J83" s="568"/>
      <c r="K83" s="568"/>
      <c r="L83" s="205"/>
      <c r="M83" s="576" t="s">
        <v>1014</v>
      </c>
      <c r="N83" s="569"/>
      <c r="O83" s="569"/>
      <c r="P83" s="569"/>
      <c r="Q83" s="569"/>
      <c r="R83" s="569"/>
      <c r="S83" s="569"/>
      <c r="T83" s="578"/>
      <c r="V83" s="519">
        <v>74</v>
      </c>
      <c r="W83" s="457" t="s">
        <v>386</v>
      </c>
      <c r="X83" s="520">
        <v>31516.400000000001</v>
      </c>
      <c r="Y83" s="520">
        <v>688224944.11000001</v>
      </c>
      <c r="Z83" s="520">
        <v>105391939.28200001</v>
      </c>
      <c r="AA83" s="520">
        <v>41447.964999999997</v>
      </c>
      <c r="AB83" s="520">
        <v>86208.354999999996</v>
      </c>
      <c r="AC83" s="520">
        <v>65334512.752999999</v>
      </c>
      <c r="AD83" s="520">
        <v>0.78700000000000003</v>
      </c>
      <c r="AE83" s="520">
        <v>1.6359999999999999</v>
      </c>
      <c r="AF83" s="520">
        <v>1239.8389999999999</v>
      </c>
      <c r="AG83" s="520">
        <v>0.12</v>
      </c>
      <c r="AH83" s="520">
        <v>8.3000000000000004E-2</v>
      </c>
      <c r="AI83" s="520">
        <v>0.251</v>
      </c>
      <c r="AJ83" s="520">
        <v>189.864</v>
      </c>
      <c r="AK83" s="520">
        <v>1.149</v>
      </c>
      <c r="AL83" s="520">
        <v>2.39</v>
      </c>
      <c r="AM83" s="520">
        <v>1811.875</v>
      </c>
      <c r="AN83" s="520">
        <v>0.121</v>
      </c>
      <c r="AO83" s="520">
        <v>0.251</v>
      </c>
      <c r="AP83" s="520">
        <v>190.173</v>
      </c>
      <c r="AQ83" s="520">
        <v>53815391.505000003</v>
      </c>
      <c r="AR83" s="520">
        <v>62107.993999999999</v>
      </c>
      <c r="AS83" s="520">
        <v>17851869.355</v>
      </c>
      <c r="AT83" s="520">
        <v>68113.898000000001</v>
      </c>
      <c r="AU83" s="520">
        <v>0.51100000000000001</v>
      </c>
      <c r="AV83" s="520">
        <v>1E-3</v>
      </c>
      <c r="AW83" s="520">
        <v>0.16900000000000001</v>
      </c>
      <c r="AX83" s="520">
        <v>1E-3</v>
      </c>
      <c r="AY83" s="520">
        <v>0.68300000000000005</v>
      </c>
      <c r="AZ83" s="517">
        <f t="shared" si="18"/>
        <v>6530.1478348215824</v>
      </c>
      <c r="BA83" s="518">
        <f t="shared" si="19"/>
        <v>9585.6416928604467</v>
      </c>
      <c r="BY83" s="117" t="s">
        <v>1015</v>
      </c>
      <c r="BZ83" s="118">
        <f t="shared" si="14"/>
        <v>847.14400000000001</v>
      </c>
      <c r="CA83" s="118">
        <f t="shared" si="15"/>
        <v>7.6999999999999999E-2</v>
      </c>
      <c r="CB83" s="118">
        <f t="shared" si="16"/>
        <v>0.14599999999999999</v>
      </c>
      <c r="CC83" s="119">
        <f t="shared" si="17"/>
        <v>10396.474958881301</v>
      </c>
      <c r="CR83" s="100" t="s">
        <v>306</v>
      </c>
      <c r="CS83" s="104" t="s">
        <v>306</v>
      </c>
    </row>
    <row r="84" spans="2:97" ht="50.25" customHeight="1" x14ac:dyDescent="0.25">
      <c r="B84" s="53"/>
      <c r="C84" s="577" t="s">
        <v>1016</v>
      </c>
      <c r="D84" s="577"/>
      <c r="E84" s="210" t="s">
        <v>1012</v>
      </c>
      <c r="F84" s="210" t="s">
        <v>1012</v>
      </c>
      <c r="G84" s="210"/>
      <c r="H84" s="210"/>
      <c r="I84" s="568" t="s">
        <v>1017</v>
      </c>
      <c r="J84" s="568"/>
      <c r="K84" s="568"/>
      <c r="L84" s="205"/>
      <c r="M84" s="576" t="s">
        <v>1018</v>
      </c>
      <c r="N84" s="576"/>
      <c r="O84" s="576"/>
      <c r="P84" s="576"/>
      <c r="Q84" s="576"/>
      <c r="R84" s="576"/>
      <c r="S84" s="576"/>
      <c r="T84" s="579"/>
      <c r="V84" s="519">
        <v>75</v>
      </c>
      <c r="W84" s="457" t="s">
        <v>306</v>
      </c>
      <c r="X84" s="520">
        <v>73016.5</v>
      </c>
      <c r="Y84" s="520">
        <v>1563781148.9860001</v>
      </c>
      <c r="Z84" s="520">
        <v>256144699.48800001</v>
      </c>
      <c r="AA84" s="520">
        <v>44434.866000000002</v>
      </c>
      <c r="AB84" s="520">
        <v>20764.973999999998</v>
      </c>
      <c r="AC84" s="520">
        <v>107879089.33499999</v>
      </c>
      <c r="AD84" s="520">
        <v>0.34699999999999998</v>
      </c>
      <c r="AE84" s="520">
        <v>0.16200000000000001</v>
      </c>
      <c r="AF84" s="520">
        <v>842.32899999999995</v>
      </c>
      <c r="AG84" s="520">
        <v>5.7000000000000002E-2</v>
      </c>
      <c r="AH84" s="520">
        <v>5.1999999999999998E-2</v>
      </c>
      <c r="AI84" s="520">
        <v>2.7E-2</v>
      </c>
      <c r="AJ84" s="520">
        <v>137.97200000000001</v>
      </c>
      <c r="AK84" s="520">
        <v>0.438</v>
      </c>
      <c r="AL84" s="520">
        <v>0.121</v>
      </c>
      <c r="AM84" s="520">
        <v>1203.3889999999999</v>
      </c>
      <c r="AN84" s="520">
        <v>5.1999999999999998E-2</v>
      </c>
      <c r="AO84" s="520">
        <v>1.4999999999999999E-2</v>
      </c>
      <c r="AP84" s="520">
        <v>144.05000000000001</v>
      </c>
      <c r="AQ84" s="520">
        <v>37243401.545000002</v>
      </c>
      <c r="AR84" s="520">
        <v>266599.25300000003</v>
      </c>
      <c r="AS84" s="520">
        <v>142008879.06200001</v>
      </c>
      <c r="AT84" s="520">
        <v>90945.407000000007</v>
      </c>
      <c r="AU84" s="520">
        <v>0.14499999999999999</v>
      </c>
      <c r="AV84" s="520">
        <v>1E-3</v>
      </c>
      <c r="AW84" s="520">
        <v>0.55400000000000005</v>
      </c>
      <c r="AX84" s="520">
        <v>0</v>
      </c>
      <c r="AY84" s="520">
        <v>0.73699999999999999</v>
      </c>
      <c r="AZ84" s="517">
        <f t="shared" si="18"/>
        <v>6105.0693303894068</v>
      </c>
      <c r="BA84" s="518">
        <f t="shared" si="19"/>
        <v>8706.5456840200823</v>
      </c>
      <c r="BY84" s="117" t="s">
        <v>1019</v>
      </c>
      <c r="BZ84" s="118">
        <f t="shared" si="14"/>
        <v>1181.8140000000001</v>
      </c>
      <c r="CA84" s="118">
        <f t="shared" si="15"/>
        <v>0.63600000000000001</v>
      </c>
      <c r="CB84" s="118">
        <f t="shared" si="16"/>
        <v>0.8</v>
      </c>
      <c r="CC84" s="119">
        <f t="shared" si="17"/>
        <v>8601.3150211506563</v>
      </c>
      <c r="CR84" s="100" t="s">
        <v>309</v>
      </c>
      <c r="CS84" s="104" t="s">
        <v>309</v>
      </c>
    </row>
    <row r="85" spans="2:97" ht="79.5" customHeight="1" thickBot="1" x14ac:dyDescent="0.3">
      <c r="B85" s="194"/>
      <c r="C85" s="580" t="s">
        <v>1020</v>
      </c>
      <c r="D85" s="580"/>
      <c r="E85" s="211" t="s">
        <v>1012</v>
      </c>
      <c r="F85" s="211" t="s">
        <v>1012</v>
      </c>
      <c r="G85" s="211"/>
      <c r="H85" s="211"/>
      <c r="I85" s="581" t="s">
        <v>1021</v>
      </c>
      <c r="J85" s="581"/>
      <c r="K85" s="581"/>
      <c r="L85" s="212"/>
      <c r="M85" s="582" t="s">
        <v>918</v>
      </c>
      <c r="N85" s="582"/>
      <c r="O85" s="582"/>
      <c r="P85" s="582"/>
      <c r="Q85" s="582"/>
      <c r="R85" s="582"/>
      <c r="S85" s="582"/>
      <c r="T85" s="213"/>
      <c r="V85" s="519">
        <v>76</v>
      </c>
      <c r="W85" s="457" t="s">
        <v>309</v>
      </c>
      <c r="X85" s="520">
        <v>59035.5</v>
      </c>
      <c r="Y85" s="520">
        <v>1117324874.1270001</v>
      </c>
      <c r="Z85" s="520">
        <v>209324307.72999999</v>
      </c>
      <c r="AA85" s="520">
        <v>40143.699000000001</v>
      </c>
      <c r="AB85" s="520">
        <v>44668.688000000002</v>
      </c>
      <c r="AC85" s="520">
        <v>93994898.715000004</v>
      </c>
      <c r="AD85" s="520">
        <v>0.38400000000000001</v>
      </c>
      <c r="AE85" s="520">
        <v>0.42699999999999999</v>
      </c>
      <c r="AF85" s="520">
        <v>898.07899999999995</v>
      </c>
      <c r="AG85" s="520">
        <v>7.1999999999999995E-2</v>
      </c>
      <c r="AH85" s="520">
        <v>6.5000000000000002E-2</v>
      </c>
      <c r="AI85" s="520">
        <v>0.08</v>
      </c>
      <c r="AJ85" s="520">
        <v>168.25</v>
      </c>
      <c r="AK85" s="520">
        <v>0.64500000000000002</v>
      </c>
      <c r="AL85" s="520">
        <v>0.71699999999999997</v>
      </c>
      <c r="AM85" s="520">
        <v>1558.384</v>
      </c>
      <c r="AN85" s="520">
        <v>7.0999999999999994E-2</v>
      </c>
      <c r="AO85" s="520">
        <v>7.8E-2</v>
      </c>
      <c r="AP85" s="520">
        <v>170.38300000000001</v>
      </c>
      <c r="AQ85" s="520">
        <v>58936646.203000002</v>
      </c>
      <c r="AR85" s="520">
        <v>150251.51300000001</v>
      </c>
      <c r="AS85" s="520">
        <v>62365849.762999997</v>
      </c>
      <c r="AT85" s="520">
        <v>101969.859</v>
      </c>
      <c r="AU85" s="520">
        <v>0.28199999999999997</v>
      </c>
      <c r="AV85" s="520">
        <v>1E-3</v>
      </c>
      <c r="AW85" s="520">
        <v>0.29799999999999999</v>
      </c>
      <c r="AX85" s="520">
        <v>0</v>
      </c>
      <c r="AY85" s="520">
        <v>0.58699999999999997</v>
      </c>
      <c r="AZ85" s="517">
        <f t="shared" si="18"/>
        <v>5337.7693505533907</v>
      </c>
      <c r="BA85" s="518">
        <f t="shared" si="19"/>
        <v>9191.9499184891447</v>
      </c>
      <c r="BY85" s="117" t="s">
        <v>1022</v>
      </c>
      <c r="BZ85" s="118">
        <f t="shared" si="14"/>
        <v>1570.972</v>
      </c>
      <c r="CA85" s="118">
        <f t="shared" si="15"/>
        <v>0.28199999999999997</v>
      </c>
      <c r="CB85" s="118">
        <f t="shared" si="16"/>
        <v>0.88100000000000001</v>
      </c>
      <c r="CC85" s="119">
        <f t="shared" si="17"/>
        <v>9747.6509466911302</v>
      </c>
      <c r="CR85" s="100" t="s">
        <v>443</v>
      </c>
      <c r="CS85" s="104" t="s">
        <v>443</v>
      </c>
    </row>
    <row r="86" spans="2:97" ht="15" customHeight="1" x14ac:dyDescent="0.25">
      <c r="M86" s="214"/>
      <c r="N86" s="214"/>
      <c r="O86" s="214"/>
      <c r="P86" s="214"/>
      <c r="Q86" s="214"/>
      <c r="R86" s="214"/>
      <c r="S86" s="214"/>
      <c r="T86" s="214"/>
      <c r="V86" s="519">
        <v>77</v>
      </c>
      <c r="W86" s="457" t="s">
        <v>443</v>
      </c>
      <c r="X86" s="520">
        <v>96953.9</v>
      </c>
      <c r="Y86" s="520">
        <v>1400412212.5220001</v>
      </c>
      <c r="Z86" s="520">
        <v>319478860.92799997</v>
      </c>
      <c r="AA86" s="520">
        <v>44977.082999999999</v>
      </c>
      <c r="AB86" s="520">
        <v>24261.312999999998</v>
      </c>
      <c r="AC86" s="520">
        <v>94792347.165000007</v>
      </c>
      <c r="AD86" s="520">
        <v>0.28199999999999997</v>
      </c>
      <c r="AE86" s="520">
        <v>0.152</v>
      </c>
      <c r="AF86" s="520">
        <v>593.41899999999998</v>
      </c>
      <c r="AG86" s="520">
        <v>6.4000000000000001E-2</v>
      </c>
      <c r="AH86" s="520">
        <v>6.7000000000000004E-2</v>
      </c>
      <c r="AI86" s="520">
        <v>3.5000000000000003E-2</v>
      </c>
      <c r="AJ86" s="520">
        <v>135.37799999999999</v>
      </c>
      <c r="AK86" s="520">
        <v>0.51</v>
      </c>
      <c r="AL86" s="520">
        <v>0.24299999999999999</v>
      </c>
      <c r="AM86" s="520">
        <v>1177.4090000000001</v>
      </c>
      <c r="AN86" s="520">
        <v>6.0999999999999999E-2</v>
      </c>
      <c r="AO86" s="520">
        <v>2.9000000000000001E-2</v>
      </c>
      <c r="AP86" s="520">
        <v>141.488</v>
      </c>
      <c r="AQ86" s="520">
        <v>33607489.832999997</v>
      </c>
      <c r="AR86" s="520">
        <v>306042.272</v>
      </c>
      <c r="AS86" s="520">
        <v>125405483.38</v>
      </c>
      <c r="AT86" s="520">
        <v>522985.87900000002</v>
      </c>
      <c r="AU86" s="520">
        <v>0.105</v>
      </c>
      <c r="AV86" s="520">
        <v>1E-3</v>
      </c>
      <c r="AW86" s="520">
        <v>0.39300000000000002</v>
      </c>
      <c r="AX86" s="520">
        <v>2E-3</v>
      </c>
      <c r="AY86" s="520">
        <v>0.52100000000000002</v>
      </c>
      <c r="AZ86" s="517">
        <f t="shared" si="18"/>
        <v>4383.4268359858934</v>
      </c>
      <c r="BA86" s="518">
        <f t="shared" si="19"/>
        <v>8761.2279661896464</v>
      </c>
      <c r="BY86" s="117" t="s">
        <v>1023</v>
      </c>
      <c r="BZ86" s="118">
        <f t="shared" si="14"/>
        <v>1934.34</v>
      </c>
      <c r="CA86" s="118">
        <f t="shared" si="15"/>
        <v>2.919</v>
      </c>
      <c r="CB86" s="118">
        <f t="shared" si="16"/>
        <v>1.4179999999999999</v>
      </c>
      <c r="CC86" s="119">
        <f t="shared" si="17"/>
        <v>10002.804187114007</v>
      </c>
      <c r="CR86" s="100" t="s">
        <v>881</v>
      </c>
      <c r="CS86" s="104" t="s">
        <v>881</v>
      </c>
    </row>
    <row r="87" spans="2:97" ht="15" customHeight="1" x14ac:dyDescent="0.25">
      <c r="C87" s="215" t="s">
        <v>1024</v>
      </c>
      <c r="D87" s="215"/>
      <c r="M87" s="214"/>
      <c r="N87" s="214"/>
      <c r="O87" s="214"/>
      <c r="P87" s="214"/>
      <c r="Q87" s="214"/>
      <c r="R87" s="214"/>
      <c r="S87" s="214"/>
      <c r="T87" s="214"/>
      <c r="V87" s="519">
        <v>78</v>
      </c>
      <c r="W87" s="457" t="s">
        <v>87</v>
      </c>
      <c r="X87" s="520">
        <v>3095.5</v>
      </c>
      <c r="Y87" s="520">
        <v>39933923.741999999</v>
      </c>
      <c r="Z87" s="520">
        <v>6678905.1610000003</v>
      </c>
      <c r="AA87" s="520">
        <v>20591.981</v>
      </c>
      <c r="AB87" s="520">
        <v>1349.979</v>
      </c>
      <c r="AC87" s="520">
        <v>2704368.9870000002</v>
      </c>
      <c r="AD87" s="520">
        <v>6.1660000000000004</v>
      </c>
      <c r="AE87" s="520">
        <v>0.40400000000000003</v>
      </c>
      <c r="AF87" s="520">
        <v>809.82399999999996</v>
      </c>
      <c r="AG87" s="520">
        <v>1.0309999999999999</v>
      </c>
      <c r="AH87" s="520">
        <v>1.107</v>
      </c>
      <c r="AI87" s="520">
        <v>6.8000000000000005E-2</v>
      </c>
      <c r="AJ87" s="520">
        <v>135.44200000000001</v>
      </c>
      <c r="AK87" s="520">
        <v>8.6310000000000002</v>
      </c>
      <c r="AL87" s="520">
        <v>0.56299999999999994</v>
      </c>
      <c r="AM87" s="520">
        <v>1134.6969999999999</v>
      </c>
      <c r="AN87" s="520">
        <v>1.0409999999999999</v>
      </c>
      <c r="AO87" s="520">
        <v>6.8000000000000005E-2</v>
      </c>
      <c r="AP87" s="520">
        <v>136.80500000000001</v>
      </c>
      <c r="AQ87" s="520">
        <v>730681.46</v>
      </c>
      <c r="AR87" s="520">
        <v>848592.32499999995</v>
      </c>
      <c r="AS87" s="520">
        <v>3182407.1030000001</v>
      </c>
      <c r="AT87" s="520">
        <v>0</v>
      </c>
      <c r="AU87" s="520">
        <v>0.109</v>
      </c>
      <c r="AV87" s="520">
        <v>0.127</v>
      </c>
      <c r="AW87" s="520">
        <v>0.47599999999999998</v>
      </c>
      <c r="AX87" s="520">
        <v>0</v>
      </c>
      <c r="AY87" s="520">
        <v>0.71899999999999997</v>
      </c>
      <c r="AZ87" s="517">
        <f t="shared" si="18"/>
        <v>5979.1122615702616</v>
      </c>
      <c r="BA87" s="518">
        <f t="shared" si="19"/>
        <v>8386.5182655642075</v>
      </c>
      <c r="BY87" s="117" t="s">
        <v>1025</v>
      </c>
      <c r="BZ87" s="118">
        <f t="shared" si="14"/>
        <v>1020.0549999999999</v>
      </c>
      <c r="CA87" s="118">
        <f t="shared" si="15"/>
        <v>9.5000000000000001E-2</v>
      </c>
      <c r="CB87" s="118">
        <f t="shared" si="16"/>
        <v>0.43099999999999999</v>
      </c>
      <c r="CC87" s="119">
        <f t="shared" si="17"/>
        <v>8007.254476916055</v>
      </c>
      <c r="CR87" s="100" t="s">
        <v>1026</v>
      </c>
      <c r="CS87" s="104" t="s">
        <v>1026</v>
      </c>
    </row>
    <row r="88" spans="2:97" ht="15" customHeight="1" thickBot="1" x14ac:dyDescent="0.3">
      <c r="M88" s="214"/>
      <c r="N88" s="214"/>
      <c r="O88" s="216">
        <f>2650000/4.73</f>
        <v>560253.69978858344</v>
      </c>
      <c r="P88" s="214"/>
      <c r="Q88" s="214"/>
      <c r="R88" s="214"/>
      <c r="S88" s="214"/>
      <c r="T88" s="214"/>
      <c r="V88" s="519">
        <v>79</v>
      </c>
      <c r="W88" s="457" t="s">
        <v>115</v>
      </c>
      <c r="X88" s="520">
        <v>3451.2</v>
      </c>
      <c r="Y88" s="520">
        <v>81226059.821999997</v>
      </c>
      <c r="Z88" s="520">
        <v>9158617.7329999991</v>
      </c>
      <c r="AA88" s="520">
        <v>22671.584999999999</v>
      </c>
      <c r="AB88" s="520">
        <v>19871.901999999998</v>
      </c>
      <c r="AC88" s="520">
        <v>6342943.2209999999</v>
      </c>
      <c r="AD88" s="520">
        <v>4.9509999999999996</v>
      </c>
      <c r="AE88" s="520">
        <v>4.3390000000000004</v>
      </c>
      <c r="AF88" s="520">
        <v>1385.1310000000001</v>
      </c>
      <c r="AG88" s="520">
        <v>0.55800000000000005</v>
      </c>
      <c r="AH88" s="520">
        <v>0.54500000000000004</v>
      </c>
      <c r="AI88" s="520">
        <v>0.48899999999999999</v>
      </c>
      <c r="AJ88" s="520">
        <v>156.18</v>
      </c>
      <c r="AK88" s="520">
        <v>6.0140000000000002</v>
      </c>
      <c r="AL88" s="520">
        <v>5.35</v>
      </c>
      <c r="AM88" s="520">
        <v>1650.194</v>
      </c>
      <c r="AN88" s="520">
        <v>0.59</v>
      </c>
      <c r="AO88" s="520">
        <v>0.52500000000000002</v>
      </c>
      <c r="AP88" s="520">
        <v>161.90600000000001</v>
      </c>
      <c r="AQ88" s="520">
        <v>0</v>
      </c>
      <c r="AR88" s="520">
        <v>7159456.4289999995</v>
      </c>
      <c r="AS88" s="520">
        <v>0</v>
      </c>
      <c r="AT88" s="520">
        <v>177774.96</v>
      </c>
      <c r="AU88" s="520">
        <v>0</v>
      </c>
      <c r="AV88" s="520">
        <v>0.78200000000000003</v>
      </c>
      <c r="AW88" s="520">
        <v>0</v>
      </c>
      <c r="AX88" s="520">
        <v>1.9E-2</v>
      </c>
      <c r="AY88" s="520">
        <v>0.83299999999999996</v>
      </c>
      <c r="AZ88" s="517">
        <f t="shared" si="18"/>
        <v>8868.812105709927</v>
      </c>
      <c r="BA88" s="518">
        <f t="shared" si="19"/>
        <v>11070.39638190699</v>
      </c>
      <c r="BY88" s="117" t="s">
        <v>1027</v>
      </c>
      <c r="BZ88" s="118">
        <f t="shared" si="14"/>
        <v>2175.8679999999999</v>
      </c>
      <c r="CA88" s="118">
        <f t="shared" si="15"/>
        <v>1.6659999999999999</v>
      </c>
      <c r="CB88" s="118">
        <f t="shared" si="16"/>
        <v>1.7949999999999999</v>
      </c>
      <c r="CC88" s="119">
        <f t="shared" si="17"/>
        <v>10697.129737999363</v>
      </c>
      <c r="CR88" s="100" t="s">
        <v>885</v>
      </c>
      <c r="CS88" s="104" t="s">
        <v>885</v>
      </c>
    </row>
    <row r="89" spans="2:97" ht="15" customHeight="1" thickBot="1" x14ac:dyDescent="0.3">
      <c r="C89" s="217" t="s">
        <v>886</v>
      </c>
      <c r="D89" s="218"/>
      <c r="E89" s="219" t="s">
        <v>860</v>
      </c>
      <c r="F89" s="220" t="s">
        <v>861</v>
      </c>
      <c r="G89" s="58"/>
      <c r="H89" s="58"/>
      <c r="M89" s="214"/>
      <c r="N89" s="214"/>
      <c r="O89" s="214"/>
      <c r="P89" s="214"/>
      <c r="Q89" s="214"/>
      <c r="R89" s="214"/>
      <c r="S89" s="214"/>
      <c r="T89" s="214"/>
      <c r="V89" s="519">
        <v>80</v>
      </c>
      <c r="W89" s="457" t="s">
        <v>892</v>
      </c>
      <c r="X89" s="520">
        <v>165769.9</v>
      </c>
      <c r="Y89" s="520">
        <v>2370771587.5100002</v>
      </c>
      <c r="Z89" s="520">
        <v>470517339.44</v>
      </c>
      <c r="AA89" s="520">
        <v>149368.34599999999</v>
      </c>
      <c r="AB89" s="520">
        <v>151587.223</v>
      </c>
      <c r="AC89" s="520">
        <v>201590347.21900001</v>
      </c>
      <c r="AD89" s="520">
        <v>0.63500000000000001</v>
      </c>
      <c r="AE89" s="520">
        <v>0.64400000000000002</v>
      </c>
      <c r="AF89" s="520">
        <v>856.88800000000003</v>
      </c>
      <c r="AG89" s="520">
        <v>0.126</v>
      </c>
      <c r="AH89" s="520">
        <v>0.124</v>
      </c>
      <c r="AI89" s="520">
        <v>0.128</v>
      </c>
      <c r="AJ89" s="520">
        <v>170.06299999999999</v>
      </c>
      <c r="AK89" s="520">
        <v>1.206</v>
      </c>
      <c r="AL89" s="520">
        <v>1.2390000000000001</v>
      </c>
      <c r="AM89" s="520">
        <v>1676.509</v>
      </c>
      <c r="AN89" s="520">
        <v>0.123</v>
      </c>
      <c r="AO89" s="520">
        <v>0.127</v>
      </c>
      <c r="AP89" s="520">
        <v>171.58199999999999</v>
      </c>
      <c r="AQ89" s="520">
        <v>127688066.31299999</v>
      </c>
      <c r="AR89" s="520">
        <v>502523.95299999998</v>
      </c>
      <c r="AS89" s="520">
        <v>111308390.15700001</v>
      </c>
      <c r="AT89" s="520">
        <v>640889.68500000006</v>
      </c>
      <c r="AU89" s="520">
        <v>0.27100000000000002</v>
      </c>
      <c r="AV89" s="520">
        <v>1E-3</v>
      </c>
      <c r="AW89" s="520">
        <v>0.23699999999999999</v>
      </c>
      <c r="AX89" s="520">
        <v>1E-3</v>
      </c>
      <c r="AY89" s="520">
        <v>0.51600000000000001</v>
      </c>
      <c r="AZ89" s="517">
        <f t="shared" si="18"/>
        <v>5038.6487144802004</v>
      </c>
      <c r="BA89" s="518">
        <f t="shared" si="19"/>
        <v>9872.4613553083655</v>
      </c>
      <c r="BY89" s="117" t="s">
        <v>1028</v>
      </c>
      <c r="BZ89" s="118">
        <f t="shared" si="14"/>
        <v>1194.4960000000001</v>
      </c>
      <c r="CA89" s="118">
        <f t="shared" si="15"/>
        <v>0.26700000000000002</v>
      </c>
      <c r="CB89" s="118">
        <f t="shared" si="16"/>
        <v>0.71299999999999997</v>
      </c>
      <c r="CC89" s="119">
        <f t="shared" si="17"/>
        <v>8673.8404329220066</v>
      </c>
      <c r="CR89" s="100" t="s">
        <v>892</v>
      </c>
      <c r="CS89" s="104" t="s">
        <v>892</v>
      </c>
    </row>
    <row r="90" spans="2:97" ht="15" customHeight="1" x14ac:dyDescent="0.25">
      <c r="C90" s="221" t="s">
        <v>871</v>
      </c>
      <c r="E90" s="23" t="str">
        <f>E24</f>
        <v>US Average</v>
      </c>
      <c r="F90" s="222"/>
      <c r="M90" s="214"/>
      <c r="N90" s="214"/>
      <c r="O90" s="214"/>
      <c r="P90" s="214"/>
      <c r="Q90" s="214"/>
      <c r="R90" s="214"/>
      <c r="S90" s="214"/>
      <c r="T90" s="214"/>
      <c r="V90" s="519">
        <v>81</v>
      </c>
      <c r="W90" s="457" t="s">
        <v>895</v>
      </c>
      <c r="X90" s="520">
        <v>82817.8</v>
      </c>
      <c r="Y90" s="520">
        <v>1001469468.554</v>
      </c>
      <c r="Z90" s="520">
        <v>226148074.90700001</v>
      </c>
      <c r="AA90" s="520">
        <v>26284.69</v>
      </c>
      <c r="AB90" s="520">
        <v>9102.7690000000002</v>
      </c>
      <c r="AC90" s="520">
        <v>56412217.171999998</v>
      </c>
      <c r="AD90" s="520">
        <v>0.23200000000000001</v>
      </c>
      <c r="AE90" s="520">
        <v>8.1000000000000003E-2</v>
      </c>
      <c r="AF90" s="520">
        <v>498.89600000000002</v>
      </c>
      <c r="AG90" s="520">
        <v>5.1999999999999998E-2</v>
      </c>
      <c r="AH90" s="520">
        <v>0.05</v>
      </c>
      <c r="AI90" s="520">
        <v>1.7999999999999999E-2</v>
      </c>
      <c r="AJ90" s="520">
        <v>112.65900000000001</v>
      </c>
      <c r="AK90" s="520">
        <v>0.25</v>
      </c>
      <c r="AL90" s="520">
        <v>2.5999999999999999E-2</v>
      </c>
      <c r="AM90" s="520">
        <v>893.50699999999995</v>
      </c>
      <c r="AN90" s="520">
        <v>3.3000000000000002E-2</v>
      </c>
      <c r="AO90" s="520">
        <v>3.0000000000000001E-3</v>
      </c>
      <c r="AP90" s="520">
        <v>118.404</v>
      </c>
      <c r="AQ90" s="520">
        <v>203345.326</v>
      </c>
      <c r="AR90" s="520">
        <v>801636.12699999998</v>
      </c>
      <c r="AS90" s="520">
        <v>115359502.639</v>
      </c>
      <c r="AT90" s="520">
        <v>2557653.9589999998</v>
      </c>
      <c r="AU90" s="520">
        <v>1E-3</v>
      </c>
      <c r="AV90" s="520">
        <v>4.0000000000000001E-3</v>
      </c>
      <c r="AW90" s="520">
        <v>0.51</v>
      </c>
      <c r="AX90" s="520">
        <v>1.0999999999999999E-2</v>
      </c>
      <c r="AY90" s="520">
        <v>0.55200000000000005</v>
      </c>
      <c r="AZ90" s="517">
        <f t="shared" si="18"/>
        <v>4428.3793658904206</v>
      </c>
      <c r="BA90" s="518">
        <f t="shared" si="19"/>
        <v>8421.2198415447074</v>
      </c>
      <c r="BY90" s="117" t="s">
        <v>1029</v>
      </c>
      <c r="BZ90" s="118">
        <f t="shared" si="14"/>
        <v>2132.674</v>
      </c>
      <c r="CA90" s="118">
        <f t="shared" si="15"/>
        <v>2.6539999999999999</v>
      </c>
      <c r="CB90" s="118">
        <f t="shared" si="16"/>
        <v>2.194</v>
      </c>
      <c r="CC90" s="119">
        <f t="shared" si="17"/>
        <v>10097.907395937662</v>
      </c>
      <c r="CR90" s="100" t="s">
        <v>1030</v>
      </c>
      <c r="CS90" s="104" t="s">
        <v>1030</v>
      </c>
    </row>
    <row r="91" spans="2:97" ht="15" customHeight="1" thickBot="1" x14ac:dyDescent="0.3">
      <c r="C91" s="223" t="s">
        <v>871</v>
      </c>
      <c r="D91" s="224"/>
      <c r="E91" s="225" t="str">
        <f>E22</f>
        <v>eGrid Subregions Average Fossil</v>
      </c>
      <c r="F91" s="226"/>
      <c r="M91" s="214"/>
      <c r="N91" s="214"/>
      <c r="O91" s="214"/>
      <c r="P91" s="214"/>
      <c r="Q91" s="214"/>
      <c r="R91" s="214"/>
      <c r="S91" s="214"/>
      <c r="T91" s="214"/>
      <c r="V91" s="519">
        <v>82</v>
      </c>
      <c r="W91" s="457" t="s">
        <v>899</v>
      </c>
      <c r="X91" s="520">
        <v>250781.4</v>
      </c>
      <c r="Y91" s="520">
        <v>5006388437.7480001</v>
      </c>
      <c r="Z91" s="520">
        <v>909114739.10800004</v>
      </c>
      <c r="AA91" s="520">
        <v>166600.58300000001</v>
      </c>
      <c r="AB91" s="520">
        <v>166349.087</v>
      </c>
      <c r="AC91" s="520">
        <v>375109100.727</v>
      </c>
      <c r="AD91" s="520">
        <v>0.36699999999999999</v>
      </c>
      <c r="AE91" s="520">
        <v>0.36599999999999999</v>
      </c>
      <c r="AF91" s="520">
        <v>825.21799999999996</v>
      </c>
      <c r="AG91" s="520">
        <v>6.7000000000000004E-2</v>
      </c>
      <c r="AH91" s="520">
        <v>5.7000000000000002E-2</v>
      </c>
      <c r="AI91" s="520">
        <v>6.6000000000000003E-2</v>
      </c>
      <c r="AJ91" s="520">
        <v>149.852</v>
      </c>
      <c r="AK91" s="520">
        <v>0.53800000000000003</v>
      </c>
      <c r="AL91" s="520">
        <v>0.55000000000000004</v>
      </c>
      <c r="AM91" s="520">
        <v>1269.8219999999999</v>
      </c>
      <c r="AN91" s="520">
        <v>6.4000000000000001E-2</v>
      </c>
      <c r="AO91" s="520">
        <v>6.6000000000000003E-2</v>
      </c>
      <c r="AP91" s="520">
        <v>151.297</v>
      </c>
      <c r="AQ91" s="520">
        <v>171753438.83000001</v>
      </c>
      <c r="AR91" s="520">
        <v>2873619.122</v>
      </c>
      <c r="AS91" s="520">
        <v>405714769.89200002</v>
      </c>
      <c r="AT91" s="520">
        <v>7457143.8619999997</v>
      </c>
      <c r="AU91" s="520">
        <v>0.189</v>
      </c>
      <c r="AV91" s="520">
        <v>3.0000000000000001E-3</v>
      </c>
      <c r="AW91" s="520">
        <v>0.44600000000000001</v>
      </c>
      <c r="AX91" s="520">
        <v>8.0000000000000002E-3</v>
      </c>
      <c r="AY91" s="520">
        <v>0.65300000000000002</v>
      </c>
      <c r="AZ91" s="517">
        <f t="shared" si="18"/>
        <v>5506.8829294970392</v>
      </c>
      <c r="BA91" s="518">
        <f t="shared" si="19"/>
        <v>8517.1779447277586</v>
      </c>
      <c r="BY91" s="117" t="s">
        <v>1031</v>
      </c>
      <c r="BZ91" s="118">
        <f t="shared" si="14"/>
        <v>2071.3449999999998</v>
      </c>
      <c r="CA91" s="118">
        <f t="shared" si="15"/>
        <v>4.3099999999999996</v>
      </c>
      <c r="CB91" s="118">
        <f t="shared" si="16"/>
        <v>1.9059999999999999</v>
      </c>
      <c r="CC91" s="119">
        <f t="shared" si="17"/>
        <v>10318.823026246035</v>
      </c>
      <c r="CR91" s="100" t="s">
        <v>895</v>
      </c>
      <c r="CS91" s="104" t="s">
        <v>895</v>
      </c>
    </row>
    <row r="92" spans="2:97" ht="15" customHeight="1" x14ac:dyDescent="0.25">
      <c r="C92" s="227" t="s">
        <v>896</v>
      </c>
      <c r="D92" s="228"/>
      <c r="E92" s="229">
        <f>E13/(1-$E$80)</f>
        <v>14480.915117414463</v>
      </c>
      <c r="F92" s="230" t="s">
        <v>1032</v>
      </c>
      <c r="G92" s="230"/>
      <c r="H92" s="230"/>
      <c r="I92" s="229">
        <f>I13/(1-$E$80)</f>
        <v>0</v>
      </c>
      <c r="J92" s="230"/>
      <c r="K92" s="229">
        <f>K13/(1-$E$80)</f>
        <v>0</v>
      </c>
      <c r="L92" s="230"/>
      <c r="M92" s="231">
        <f>M13/(1-$E$80)</f>
        <v>0</v>
      </c>
      <c r="N92" s="232"/>
      <c r="O92" s="231">
        <f>O13/(1-$E$80)</f>
        <v>0</v>
      </c>
      <c r="P92" s="232"/>
      <c r="Q92" s="231">
        <f>Q13/(1-$E$80)</f>
        <v>0</v>
      </c>
      <c r="R92" s="232"/>
      <c r="S92" s="233">
        <f>S13/(1-$E$80)</f>
        <v>0</v>
      </c>
      <c r="T92" s="214"/>
      <c r="V92" s="519">
        <v>83</v>
      </c>
      <c r="W92" s="457" t="s">
        <v>902</v>
      </c>
      <c r="X92" s="520">
        <v>385791.2</v>
      </c>
      <c r="Y92" s="520">
        <v>7482938945.6470003</v>
      </c>
      <c r="Z92" s="520">
        <v>1333721076.0420001</v>
      </c>
      <c r="AA92" s="520">
        <v>252320.02100000001</v>
      </c>
      <c r="AB92" s="520">
        <v>229681.81200000001</v>
      </c>
      <c r="AC92" s="520">
        <v>534347899.91000003</v>
      </c>
      <c r="AD92" s="520">
        <v>0.378</v>
      </c>
      <c r="AE92" s="520">
        <v>0.34399999999999997</v>
      </c>
      <c r="AF92" s="520">
        <v>801.28899999999999</v>
      </c>
      <c r="AG92" s="520">
        <v>6.7000000000000004E-2</v>
      </c>
      <c r="AH92" s="520">
        <v>6.2E-2</v>
      </c>
      <c r="AI92" s="520">
        <v>6.0999999999999999E-2</v>
      </c>
      <c r="AJ92" s="520">
        <v>142.81800000000001</v>
      </c>
      <c r="AK92" s="520">
        <v>0.52700000000000002</v>
      </c>
      <c r="AL92" s="520">
        <v>0.47099999999999997</v>
      </c>
      <c r="AM92" s="520">
        <v>1207.9570000000001</v>
      </c>
      <c r="AN92" s="520">
        <v>6.4000000000000001E-2</v>
      </c>
      <c r="AO92" s="520">
        <v>5.7000000000000002E-2</v>
      </c>
      <c r="AP92" s="520">
        <v>146.70099999999999</v>
      </c>
      <c r="AQ92" s="520">
        <v>209361939.61700001</v>
      </c>
      <c r="AR92" s="520">
        <v>3031712.1</v>
      </c>
      <c r="AS92" s="520">
        <v>668362826.03400004</v>
      </c>
      <c r="AT92" s="520">
        <v>4457623.9359999998</v>
      </c>
      <c r="AU92" s="520">
        <v>0.157</v>
      </c>
      <c r="AV92" s="520">
        <v>2E-3</v>
      </c>
      <c r="AW92" s="520">
        <v>0.501</v>
      </c>
      <c r="AX92" s="520">
        <v>3.0000000000000001E-3</v>
      </c>
      <c r="AY92" s="520">
        <v>0.68100000000000005</v>
      </c>
      <c r="AZ92" s="517">
        <f t="shared" si="18"/>
        <v>5610.572615267989</v>
      </c>
      <c r="BA92" s="518">
        <f t="shared" si="19"/>
        <v>8453.2532088975549</v>
      </c>
      <c r="BY92" s="117" t="s">
        <v>1033</v>
      </c>
      <c r="BZ92" s="118">
        <f t="shared" si="14"/>
        <v>929.24800000000005</v>
      </c>
      <c r="CA92" s="118">
        <f t="shared" si="15"/>
        <v>0.10299999999999999</v>
      </c>
      <c r="CB92" s="118">
        <f t="shared" si="16"/>
        <v>0.253</v>
      </c>
      <c r="CC92" s="119">
        <f t="shared" si="17"/>
        <v>10374.523923648789</v>
      </c>
      <c r="CR92" s="100" t="s">
        <v>899</v>
      </c>
      <c r="CS92" s="104" t="s">
        <v>899</v>
      </c>
    </row>
    <row r="93" spans="2:97" ht="15" customHeight="1" x14ac:dyDescent="0.25">
      <c r="C93" s="234" t="s">
        <v>903</v>
      </c>
      <c r="D93" s="235"/>
      <c r="E93" s="37">
        <f>E15</f>
        <v>0</v>
      </c>
      <c r="F93" t="s">
        <v>1034</v>
      </c>
      <c r="I93" s="99">
        <f>I15</f>
        <v>95.422994440657746</v>
      </c>
      <c r="K93" s="99">
        <f>K15</f>
        <v>0</v>
      </c>
      <c r="M93" s="236">
        <f>M15</f>
        <v>0</v>
      </c>
      <c r="N93" s="214"/>
      <c r="O93" s="236">
        <f>O15</f>
        <v>0</v>
      </c>
      <c r="P93" s="214"/>
      <c r="Q93" s="236">
        <f>Q15</f>
        <v>0</v>
      </c>
      <c r="R93" s="214"/>
      <c r="S93" s="237">
        <f>S15</f>
        <v>0</v>
      </c>
      <c r="T93" s="214"/>
      <c r="V93" s="519">
        <v>84</v>
      </c>
      <c r="W93" s="457" t="s">
        <v>905</v>
      </c>
      <c r="X93" s="520">
        <v>144275.6</v>
      </c>
      <c r="Y93" s="520">
        <v>2410651892.8449998</v>
      </c>
      <c r="Z93" s="520">
        <v>472122306.10100001</v>
      </c>
      <c r="AA93" s="520">
        <v>105048.878</v>
      </c>
      <c r="AB93" s="520">
        <v>76086.145000000004</v>
      </c>
      <c r="AC93" s="520">
        <v>173245756.19600001</v>
      </c>
      <c r="AD93" s="520">
        <v>0.44500000000000001</v>
      </c>
      <c r="AE93" s="520">
        <v>0.32200000000000001</v>
      </c>
      <c r="AF93" s="520">
        <v>733.90200000000004</v>
      </c>
      <c r="AG93" s="520">
        <v>8.6999999999999994E-2</v>
      </c>
      <c r="AH93" s="520">
        <v>8.5999999999999993E-2</v>
      </c>
      <c r="AI93" s="520">
        <v>6.3E-2</v>
      </c>
      <c r="AJ93" s="520">
        <v>143.73400000000001</v>
      </c>
      <c r="AK93" s="520">
        <v>0.71899999999999997</v>
      </c>
      <c r="AL93" s="520">
        <v>0.51900000000000002</v>
      </c>
      <c r="AM93" s="520">
        <v>1181.2059999999999</v>
      </c>
      <c r="AN93" s="520">
        <v>8.7999999999999995E-2</v>
      </c>
      <c r="AO93" s="520">
        <v>6.3E-2</v>
      </c>
      <c r="AP93" s="520">
        <v>144.393</v>
      </c>
      <c r="AQ93" s="520">
        <v>60420147.399999999</v>
      </c>
      <c r="AR93" s="520">
        <v>213046.005</v>
      </c>
      <c r="AS93" s="520">
        <v>232718819.76100001</v>
      </c>
      <c r="AT93" s="520">
        <v>1696010.173</v>
      </c>
      <c r="AU93" s="520">
        <v>0.128</v>
      </c>
      <c r="AV93" s="520">
        <v>0</v>
      </c>
      <c r="AW93" s="520">
        <v>0.49299999999999999</v>
      </c>
      <c r="AX93" s="520">
        <v>4.0000000000000001E-3</v>
      </c>
      <c r="AY93" s="520">
        <v>0.627</v>
      </c>
      <c r="AZ93" s="517">
        <f t="shared" si="18"/>
        <v>5105.9902522997809</v>
      </c>
      <c r="BA93" s="518">
        <f t="shared" si="19"/>
        <v>8170.3712689349022</v>
      </c>
      <c r="BY93" s="117" t="s">
        <v>1035</v>
      </c>
      <c r="BZ93" s="118">
        <f t="shared" si="14"/>
        <v>837.90899999999999</v>
      </c>
      <c r="CA93" s="118">
        <f t="shared" si="15"/>
        <v>6.0000000000000001E-3</v>
      </c>
      <c r="CB93" s="118">
        <f t="shared" si="16"/>
        <v>0.19400000000000001</v>
      </c>
      <c r="CC93" s="119">
        <f t="shared" si="17"/>
        <v>7636.712491928698</v>
      </c>
      <c r="CR93" s="100" t="s">
        <v>902</v>
      </c>
      <c r="CS93" s="104" t="s">
        <v>902</v>
      </c>
    </row>
    <row r="94" spans="2:97" ht="15" customHeight="1" x14ac:dyDescent="0.25">
      <c r="C94" s="221" t="s">
        <v>1036</v>
      </c>
      <c r="E94" s="123">
        <f>E17</f>
        <v>0</v>
      </c>
      <c r="F94" t="s">
        <v>1037</v>
      </c>
      <c r="I94" s="99">
        <f>I17</f>
        <v>0</v>
      </c>
      <c r="K94" s="99">
        <f>K17</f>
        <v>0</v>
      </c>
      <c r="M94" s="236">
        <f>M17</f>
        <v>0</v>
      </c>
      <c r="N94" s="214"/>
      <c r="O94" s="236">
        <f>O17</f>
        <v>0</v>
      </c>
      <c r="P94" s="214"/>
      <c r="Q94" s="236">
        <f>Q17</f>
        <v>0</v>
      </c>
      <c r="R94" s="214"/>
      <c r="S94" s="237">
        <f>S17</f>
        <v>0</v>
      </c>
      <c r="T94" s="214"/>
      <c r="V94" s="519">
        <v>85</v>
      </c>
      <c r="W94" s="457" t="s">
        <v>908</v>
      </c>
      <c r="X94" s="520">
        <v>261053.5</v>
      </c>
      <c r="Y94" s="520">
        <v>3322275085.8439999</v>
      </c>
      <c r="Z94" s="520">
        <v>746008725.74300003</v>
      </c>
      <c r="AA94" s="520">
        <v>170460.342</v>
      </c>
      <c r="AB94" s="520">
        <v>66157.922000000006</v>
      </c>
      <c r="AC94" s="520">
        <v>244420920.03</v>
      </c>
      <c r="AD94" s="520">
        <v>0.45700000000000002</v>
      </c>
      <c r="AE94" s="520">
        <v>0.17699999999999999</v>
      </c>
      <c r="AF94" s="520">
        <v>655.27599999999995</v>
      </c>
      <c r="AG94" s="520">
        <v>0.10299999999999999</v>
      </c>
      <c r="AH94" s="520">
        <v>0.1</v>
      </c>
      <c r="AI94" s="520">
        <v>0.04</v>
      </c>
      <c r="AJ94" s="520">
        <v>147.14099999999999</v>
      </c>
      <c r="AK94" s="520">
        <v>0.86899999999999999</v>
      </c>
      <c r="AL94" s="520">
        <v>0.34599999999999997</v>
      </c>
      <c r="AM94" s="520">
        <v>1323.4690000000001</v>
      </c>
      <c r="AN94" s="520">
        <v>9.9000000000000005E-2</v>
      </c>
      <c r="AO94" s="520">
        <v>0.04</v>
      </c>
      <c r="AP94" s="520">
        <v>151.43100000000001</v>
      </c>
      <c r="AQ94" s="520">
        <v>101892622.618</v>
      </c>
      <c r="AR94" s="520">
        <v>749869.96499999997</v>
      </c>
      <c r="AS94" s="520">
        <v>264908602.706</v>
      </c>
      <c r="AT94" s="520">
        <v>2182174.7409999999</v>
      </c>
      <c r="AU94" s="520">
        <v>0.13700000000000001</v>
      </c>
      <c r="AV94" s="520">
        <v>1E-3</v>
      </c>
      <c r="AW94" s="520">
        <v>0.35499999999999998</v>
      </c>
      <c r="AX94" s="520">
        <v>3.0000000000000001E-3</v>
      </c>
      <c r="AY94" s="520">
        <v>0.50700000000000001</v>
      </c>
      <c r="AZ94" s="517">
        <f t="shared" si="18"/>
        <v>4453.3997675900155</v>
      </c>
      <c r="BA94" s="518">
        <f t="shared" si="19"/>
        <v>8985.5994987262893</v>
      </c>
      <c r="BY94" s="117" t="s">
        <v>1038</v>
      </c>
      <c r="BZ94" s="118">
        <f t="shared" si="14"/>
        <v>1399.692</v>
      </c>
      <c r="CA94" s="118">
        <f t="shared" si="15"/>
        <v>0.192</v>
      </c>
      <c r="CB94" s="118">
        <f t="shared" si="16"/>
        <v>0.67500000000000004</v>
      </c>
      <c r="CC94" s="119">
        <f t="shared" si="17"/>
        <v>9194.945185988925</v>
      </c>
      <c r="CR94" s="100" t="s">
        <v>1039</v>
      </c>
      <c r="CS94" s="104" t="s">
        <v>1039</v>
      </c>
    </row>
    <row r="95" spans="2:97" ht="15" customHeight="1" thickBot="1" x14ac:dyDescent="0.3">
      <c r="C95" s="223" t="s">
        <v>1040</v>
      </c>
      <c r="D95" s="224"/>
      <c r="E95" s="288">
        <f>E19</f>
        <v>0</v>
      </c>
      <c r="F95" s="224" t="s">
        <v>1037</v>
      </c>
      <c r="G95" s="224"/>
      <c r="H95" s="224"/>
      <c r="I95" s="238">
        <f>I19</f>
        <v>0</v>
      </c>
      <c r="J95" s="224"/>
      <c r="K95" s="238">
        <f>K19</f>
        <v>0</v>
      </c>
      <c r="L95" s="224"/>
      <c r="M95" s="239">
        <f>M19</f>
        <v>0</v>
      </c>
      <c r="N95" s="240"/>
      <c r="O95" s="239">
        <f>O19</f>
        <v>0</v>
      </c>
      <c r="P95" s="240"/>
      <c r="Q95" s="239">
        <f>Q19</f>
        <v>0</v>
      </c>
      <c r="R95" s="240"/>
      <c r="S95" s="241">
        <f>S19</f>
        <v>0</v>
      </c>
      <c r="T95" s="214"/>
      <c r="V95" s="106"/>
      <c r="W95" s="107"/>
      <c r="X95" s="26"/>
      <c r="Y95" s="26"/>
      <c r="Z95" s="26"/>
      <c r="AA95" s="26"/>
      <c r="AB95" s="26"/>
      <c r="AC95" s="26"/>
      <c r="AD95" s="26"/>
      <c r="AE95" s="26"/>
      <c r="AF95" s="26"/>
      <c r="AG95" s="26"/>
      <c r="AH95" s="26"/>
      <c r="AI95" s="26"/>
      <c r="AJ95" s="26"/>
      <c r="AK95" s="26"/>
      <c r="AL95" s="26"/>
      <c r="AM95" s="26"/>
      <c r="AN95" s="26"/>
      <c r="AO95" s="26"/>
      <c r="AP95" s="26"/>
      <c r="AQ95" s="26"/>
      <c r="AR95" s="26"/>
      <c r="AS95" s="26"/>
      <c r="AT95" s="26"/>
      <c r="AU95" s="26"/>
      <c r="AV95" s="26"/>
      <c r="AW95" s="26"/>
      <c r="AX95" s="26"/>
      <c r="AY95" s="26"/>
      <c r="AZ95" s="83"/>
      <c r="BA95" s="84"/>
      <c r="BY95" s="117" t="s">
        <v>1041</v>
      </c>
      <c r="BZ95" s="118">
        <f t="shared" si="14"/>
        <v>1009.955</v>
      </c>
      <c r="CA95" s="118">
        <f t="shared" si="15"/>
        <v>0.215</v>
      </c>
      <c r="CB95" s="118">
        <f t="shared" si="16"/>
        <v>0.754</v>
      </c>
      <c r="CC95" s="119">
        <f t="shared" si="17"/>
        <v>7866.786881877315</v>
      </c>
      <c r="CR95" s="100" t="s">
        <v>905</v>
      </c>
      <c r="CS95" s="104" t="s">
        <v>905</v>
      </c>
    </row>
    <row r="96" spans="2:97" ht="15" customHeight="1" x14ac:dyDescent="0.25">
      <c r="E96" s="99"/>
      <c r="I96" s="99"/>
      <c r="K96" s="99"/>
      <c r="M96" s="236"/>
      <c r="N96" s="214"/>
      <c r="O96" s="236"/>
      <c r="P96" s="214"/>
      <c r="Q96" s="236"/>
      <c r="R96" s="214"/>
      <c r="S96" s="236"/>
      <c r="T96" s="214"/>
      <c r="V96" s="106"/>
      <c r="W96" s="107"/>
      <c r="X96" s="26"/>
      <c r="Y96" s="26"/>
      <c r="Z96" s="26"/>
      <c r="AA96" s="26"/>
      <c r="AB96" s="26"/>
      <c r="AC96" s="26"/>
      <c r="AD96" s="26"/>
      <c r="AE96" s="26"/>
      <c r="AF96" s="26"/>
      <c r="AG96" s="26"/>
      <c r="AH96" s="26"/>
      <c r="AI96" s="26"/>
      <c r="AJ96" s="26"/>
      <c r="AK96" s="26"/>
      <c r="AL96" s="26"/>
      <c r="AM96" s="26"/>
      <c r="AN96" s="26"/>
      <c r="AO96" s="26"/>
      <c r="AP96" s="26"/>
      <c r="AQ96" s="26"/>
      <c r="AR96" s="26"/>
      <c r="AS96" s="26"/>
      <c r="AT96" s="26"/>
      <c r="AU96" s="26"/>
      <c r="AV96" s="26"/>
      <c r="AW96" s="26"/>
      <c r="AX96" s="26"/>
      <c r="AY96" s="26"/>
      <c r="AZ96" s="83"/>
      <c r="BA96" s="84"/>
      <c r="BY96" s="117" t="s">
        <v>1042</v>
      </c>
      <c r="BZ96" s="118">
        <f t="shared" si="14"/>
        <v>933.79200000000003</v>
      </c>
      <c r="CA96" s="118">
        <f t="shared" si="15"/>
        <v>2.5999999999999999E-2</v>
      </c>
      <c r="CB96" s="118">
        <f t="shared" si="16"/>
        <v>0.27200000000000002</v>
      </c>
      <c r="CC96" s="119">
        <f t="shared" si="17"/>
        <v>8413.4992798538551</v>
      </c>
      <c r="CR96" s="100" t="s">
        <v>908</v>
      </c>
      <c r="CS96" s="104" t="s">
        <v>908</v>
      </c>
    </row>
    <row r="97" spans="3:97" ht="15" customHeight="1" thickBot="1" x14ac:dyDescent="0.3">
      <c r="E97" s="99"/>
      <c r="I97" s="99"/>
      <c r="K97" s="99"/>
      <c r="M97" s="236"/>
      <c r="N97" s="214"/>
      <c r="O97" s="236"/>
      <c r="P97" s="214"/>
      <c r="Q97" s="236"/>
      <c r="R97" s="214"/>
      <c r="S97" s="236"/>
      <c r="T97" s="214"/>
      <c r="V97" s="106"/>
      <c r="W97" s="107"/>
      <c r="X97" s="26"/>
      <c r="Y97" s="26"/>
      <c r="Z97" s="26"/>
      <c r="AA97" s="26"/>
      <c r="AB97" s="26"/>
      <c r="AC97" s="26"/>
      <c r="AD97" s="26"/>
      <c r="AE97" s="26"/>
      <c r="AF97" s="26"/>
      <c r="AG97" s="26"/>
      <c r="AH97" s="26"/>
      <c r="AI97" s="26"/>
      <c r="AJ97" s="26"/>
      <c r="AK97" s="26"/>
      <c r="AL97" s="26"/>
      <c r="AM97" s="26"/>
      <c r="AN97" s="26"/>
      <c r="AO97" s="26"/>
      <c r="AP97" s="26"/>
      <c r="AQ97" s="26"/>
      <c r="AR97" s="26"/>
      <c r="AS97" s="26"/>
      <c r="AT97" s="26"/>
      <c r="AU97" s="26"/>
      <c r="AV97" s="26"/>
      <c r="AW97" s="26"/>
      <c r="AX97" s="26"/>
      <c r="AY97" s="26"/>
      <c r="AZ97" s="83"/>
      <c r="BA97" s="84"/>
      <c r="BY97" s="117" t="s">
        <v>1043</v>
      </c>
      <c r="BZ97" s="118">
        <f t="shared" si="14"/>
        <v>1261.2280000000001</v>
      </c>
      <c r="CA97" s="118">
        <f t="shared" si="15"/>
        <v>0.72499999999999998</v>
      </c>
      <c r="CB97" s="118">
        <f t="shared" si="16"/>
        <v>0.40300000000000002</v>
      </c>
      <c r="CC97" s="119">
        <f t="shared" si="17"/>
        <v>8392.3001393038849</v>
      </c>
      <c r="CR97" s="100" t="s">
        <v>876</v>
      </c>
      <c r="CS97" s="104" t="str">
        <f t="shared" ref="CS97:CS107" si="20">CR97</f>
        <v>Canada Average</v>
      </c>
    </row>
    <row r="98" spans="3:97" ht="15" customHeight="1" x14ac:dyDescent="0.25">
      <c r="C98" s="436" t="s">
        <v>1044</v>
      </c>
      <c r="D98" s="230"/>
      <c r="E98" s="242" t="str">
        <f>VLOOKUP(E90,CR:CS,2,0)</f>
        <v>US Average</v>
      </c>
      <c r="F98" s="243" t="s">
        <v>1012</v>
      </c>
      <c r="G98" s="57"/>
      <c r="H98" s="57"/>
      <c r="M98" s="214"/>
      <c r="N98" s="214"/>
      <c r="O98" s="214"/>
      <c r="P98" s="214"/>
      <c r="Q98" s="214"/>
      <c r="R98" s="214"/>
      <c r="S98" s="214"/>
      <c r="T98" s="214"/>
      <c r="V98" s="244"/>
      <c r="W98" s="245"/>
      <c r="X98" s="246"/>
      <c r="Y98" s="246"/>
      <c r="Z98" s="246"/>
      <c r="AA98" s="246"/>
      <c r="AB98" s="246"/>
      <c r="AC98" s="246"/>
      <c r="AD98" s="246"/>
      <c r="AE98" s="246"/>
      <c r="AF98" s="246"/>
      <c r="AG98" s="246"/>
      <c r="AH98" s="246"/>
      <c r="AI98" s="246"/>
      <c r="AJ98" s="246"/>
      <c r="AK98" s="246"/>
      <c r="AL98" s="246"/>
      <c r="AM98" s="246"/>
      <c r="AN98" s="246"/>
      <c r="AO98" s="246"/>
      <c r="AP98" s="246"/>
      <c r="AQ98" s="246"/>
      <c r="AR98" s="246"/>
      <c r="AS98" s="246"/>
      <c r="AT98" s="246"/>
      <c r="AU98" s="246"/>
      <c r="AV98" s="246"/>
      <c r="AW98" s="246"/>
      <c r="AX98" s="246"/>
      <c r="AY98" s="246"/>
      <c r="AZ98" s="247"/>
      <c r="BA98" s="248"/>
      <c r="BY98" s="117" t="s">
        <v>1045</v>
      </c>
      <c r="BZ98" s="118">
        <f t="shared" si="14"/>
        <v>1150.2249999999999</v>
      </c>
      <c r="CA98" s="118">
        <f t="shared" si="15"/>
        <v>0.378</v>
      </c>
      <c r="CB98" s="118">
        <f t="shared" si="16"/>
        <v>0.82899999999999996</v>
      </c>
      <c r="CC98" s="119">
        <f t="shared" si="17"/>
        <v>8897.7227244840724</v>
      </c>
      <c r="CR98" s="100" t="s">
        <v>200</v>
      </c>
      <c r="CS98" s="104" t="str">
        <f t="shared" si="20"/>
        <v>Alberta</v>
      </c>
    </row>
    <row r="99" spans="3:97" ht="15" customHeight="1" x14ac:dyDescent="0.25">
      <c r="C99" s="221" t="s">
        <v>1046</v>
      </c>
      <c r="E99" s="23" t="str">
        <f>IF(ISERROR(VLOOKUP(E98,$CS$8:$CS$59,1,0)),"No", "Yes")</f>
        <v>Yes</v>
      </c>
      <c r="F99" s="222" t="s">
        <v>1047</v>
      </c>
      <c r="H99" s="5" t="s">
        <v>1048</v>
      </c>
      <c r="M99" s="214"/>
      <c r="N99" s="214"/>
      <c r="O99" s="214"/>
      <c r="P99" s="214"/>
      <c r="Q99" s="214"/>
      <c r="R99" s="214"/>
      <c r="S99" s="214"/>
      <c r="T99" s="214"/>
      <c r="BY99" s="117" t="s">
        <v>1049</v>
      </c>
      <c r="BZ99" s="118">
        <f t="shared" si="14"/>
        <v>956.36400000000003</v>
      </c>
      <c r="CA99" s="118">
        <f t="shared" si="15"/>
        <v>6.0000000000000001E-3</v>
      </c>
      <c r="CB99" s="118">
        <f t="shared" si="16"/>
        <v>1.5940000000000001</v>
      </c>
      <c r="CC99" s="119">
        <f t="shared" si="17"/>
        <v>8488.6679098658751</v>
      </c>
      <c r="CR99" s="100" t="s">
        <v>202</v>
      </c>
      <c r="CS99" s="104" t="str">
        <f t="shared" si="20"/>
        <v>British Columbia</v>
      </c>
    </row>
    <row r="100" spans="3:97" ht="15" customHeight="1" thickBot="1" x14ac:dyDescent="0.3">
      <c r="C100" s="223" t="s">
        <v>1050</v>
      </c>
      <c r="D100" s="224"/>
      <c r="E100" s="225" t="str">
        <f>IF(OR(E91="eGrid Subregions Average Fossil",E91="NERC Average Fossil",E91="US Average Fossil"),"Yes","No")</f>
        <v>Yes</v>
      </c>
      <c r="F100" s="226" t="s">
        <v>1047</v>
      </c>
      <c r="H100" s="5" t="s">
        <v>1051</v>
      </c>
      <c r="M100" s="214"/>
      <c r="N100" s="214"/>
      <c r="O100" s="214"/>
      <c r="P100" s="214"/>
      <c r="Q100" s="214"/>
      <c r="R100" s="214"/>
      <c r="S100" s="214"/>
      <c r="T100" s="214"/>
      <c r="BY100" s="117" t="s">
        <v>1052</v>
      </c>
      <c r="BZ100" s="118">
        <f t="shared" si="14"/>
        <v>979.62599999999998</v>
      </c>
      <c r="CA100" s="118">
        <f t="shared" si="15"/>
        <v>0.315</v>
      </c>
      <c r="CB100" s="118">
        <f t="shared" si="16"/>
        <v>0.27100000000000002</v>
      </c>
      <c r="CC100" s="119">
        <f t="shared" si="17"/>
        <v>7800.2076966749028</v>
      </c>
      <c r="CR100" s="100" t="s">
        <v>204</v>
      </c>
      <c r="CS100" s="104" t="str">
        <f t="shared" si="20"/>
        <v>Manitoba</v>
      </c>
    </row>
    <row r="101" spans="3:97" ht="15" customHeight="1" thickBot="1" x14ac:dyDescent="0.3">
      <c r="C101" s="249" t="s">
        <v>1053</v>
      </c>
      <c r="D101" s="250"/>
      <c r="E101" s="251">
        <f>IF($E$100="Yes",VLOOKUP($E$98&amp;"_Fossil",$BY:$CC,5,0),VLOOKUP($E$98,$BY:$CC,5,0))</f>
        <v>8665.4857455159454</v>
      </c>
      <c r="F101" s="252" t="s">
        <v>1054</v>
      </c>
      <c r="M101" s="214"/>
      <c r="N101" s="214"/>
      <c r="O101" s="214"/>
      <c r="P101" s="214"/>
      <c r="Q101" s="214"/>
      <c r="R101" s="214"/>
      <c r="S101" s="214"/>
      <c r="T101" s="214"/>
      <c r="BY101" s="117" t="s">
        <v>1055</v>
      </c>
      <c r="BZ101" s="118">
        <f t="shared" si="14"/>
        <v>912.80200000000002</v>
      </c>
      <c r="CA101" s="118">
        <f t="shared" si="15"/>
        <v>5.0000000000000001E-3</v>
      </c>
      <c r="CB101" s="118">
        <f t="shared" si="16"/>
        <v>0.40500000000000003</v>
      </c>
      <c r="CC101" s="119">
        <f t="shared" si="17"/>
        <v>7925.5154485416188</v>
      </c>
      <c r="CR101" s="100" t="s">
        <v>206</v>
      </c>
      <c r="CS101" s="104" t="str">
        <f t="shared" si="20"/>
        <v>New Brunswick</v>
      </c>
    </row>
    <row r="102" spans="3:97" ht="15" customHeight="1" x14ac:dyDescent="0.25">
      <c r="C102" s="253" t="s">
        <v>1056</v>
      </c>
      <c r="D102" s="254"/>
      <c r="E102" s="255">
        <f>IF($E$100="Yes",VLOOKUP($E$98&amp;"_Fossil",$BY:$CC,2,0),VLOOKUP($E$98,$BY:$CC,2,0))*(1-G13)</f>
        <v>1270.259</v>
      </c>
      <c r="F102" s="256" t="s">
        <v>744</v>
      </c>
      <c r="G102" s="51"/>
      <c r="H102" s="51"/>
      <c r="M102" s="214"/>
      <c r="N102" s="214"/>
      <c r="O102" s="214"/>
      <c r="P102" s="214"/>
      <c r="Q102" s="214"/>
      <c r="R102" s="214"/>
      <c r="S102" s="214"/>
      <c r="T102" s="214"/>
      <c r="BY102" s="117" t="s">
        <v>1057</v>
      </c>
      <c r="BZ102" s="118">
        <f t="shared" si="14"/>
        <v>1444.126</v>
      </c>
      <c r="CA102" s="118">
        <f t="shared" si="15"/>
        <v>0.38400000000000001</v>
      </c>
      <c r="CB102" s="118">
        <f t="shared" si="16"/>
        <v>0.56299999999999994</v>
      </c>
      <c r="CC102" s="119">
        <f t="shared" si="17"/>
        <v>9436.423144372935</v>
      </c>
      <c r="CR102" s="100" t="s">
        <v>208</v>
      </c>
      <c r="CS102" s="104" t="str">
        <f t="shared" si="20"/>
        <v>Newfoundland</v>
      </c>
    </row>
    <row r="103" spans="3:97" ht="15" customHeight="1" x14ac:dyDescent="0.25">
      <c r="C103" s="257" t="s">
        <v>1058</v>
      </c>
      <c r="D103" s="258"/>
      <c r="E103" s="116">
        <f>IF($E$100="Yes",VLOOKUP($E$98&amp;"_Fossil",$BY:$CC,3,0),VLOOKUP($E$98,$BY:$CC,3,0))</f>
        <v>0.56699999999999995</v>
      </c>
      <c r="F103" s="259" t="s">
        <v>744</v>
      </c>
      <c r="G103" s="51"/>
      <c r="H103" s="51"/>
      <c r="M103" s="214"/>
      <c r="N103" s="214"/>
      <c r="O103" s="214"/>
      <c r="P103" s="214"/>
      <c r="Q103" s="214"/>
      <c r="R103" s="214"/>
      <c r="S103" s="214"/>
      <c r="T103" s="214"/>
      <c r="BY103" s="117" t="s">
        <v>1059</v>
      </c>
      <c r="BZ103" s="118">
        <f t="shared" si="14"/>
        <v>1563.701</v>
      </c>
      <c r="CA103" s="118">
        <f t="shared" si="15"/>
        <v>0.35499999999999998</v>
      </c>
      <c r="CB103" s="118">
        <f t="shared" si="16"/>
        <v>1.169</v>
      </c>
      <c r="CC103" s="119">
        <f t="shared" si="17"/>
        <v>9812.0991494146238</v>
      </c>
      <c r="CR103" s="100" t="s">
        <v>210</v>
      </c>
      <c r="CS103" s="104" t="str">
        <f t="shared" si="20"/>
        <v>Nova Scotia</v>
      </c>
    </row>
    <row r="104" spans="3:97" ht="15" customHeight="1" thickBot="1" x14ac:dyDescent="0.3">
      <c r="C104" s="260" t="s">
        <v>1060</v>
      </c>
      <c r="D104" s="261"/>
      <c r="E104" s="262">
        <f>IF($E$100="Yes",VLOOKUP($E$98&amp;"_Fossil",$BY:$CC,4,0),VLOOKUP($E$98,$BY:$CC,4,0))</f>
        <v>0.71</v>
      </c>
      <c r="F104" s="263" t="s">
        <v>744</v>
      </c>
      <c r="G104" s="51"/>
      <c r="H104" s="51"/>
      <c r="K104" s="58"/>
      <c r="M104" s="214"/>
      <c r="N104" s="214"/>
      <c r="O104" s="214"/>
      <c r="P104" s="214"/>
      <c r="Q104" s="214"/>
      <c r="R104" s="214"/>
      <c r="S104" s="214"/>
      <c r="T104" s="214"/>
      <c r="BY104" s="117" t="s">
        <v>1061</v>
      </c>
      <c r="BZ104" s="118">
        <f t="shared" si="14"/>
        <v>1704.73</v>
      </c>
      <c r="CA104" s="118">
        <f t="shared" si="15"/>
        <v>0.52400000000000002</v>
      </c>
      <c r="CB104" s="118">
        <f t="shared" si="16"/>
        <v>0.55500000000000005</v>
      </c>
      <c r="CC104" s="119">
        <f t="shared" si="17"/>
        <v>9819.8586641521324</v>
      </c>
      <c r="CR104" s="100" t="s">
        <v>212</v>
      </c>
      <c r="CS104" s="104" t="str">
        <f t="shared" si="20"/>
        <v>Ontario</v>
      </c>
    </row>
    <row r="105" spans="3:97" ht="15" customHeight="1" x14ac:dyDescent="0.25">
      <c r="C105" s="253" t="s">
        <v>1062</v>
      </c>
      <c r="D105" s="254"/>
      <c r="E105" s="255">
        <f>(E69/$E$68)*(1-G15)</f>
        <v>117.64705882352941</v>
      </c>
      <c r="F105" s="256" t="s">
        <v>736</v>
      </c>
      <c r="G105" s="51"/>
      <c r="H105" s="51"/>
      <c r="M105" s="214"/>
      <c r="N105" s="214"/>
      <c r="O105" s="214"/>
      <c r="P105" s="214"/>
      <c r="Q105" s="214"/>
      <c r="R105" s="264"/>
      <c r="S105" s="264"/>
      <c r="T105" s="214"/>
      <c r="BY105" s="117" t="s">
        <v>1063</v>
      </c>
      <c r="BZ105" s="118">
        <f t="shared" si="14"/>
        <v>1186.826</v>
      </c>
      <c r="CA105" s="118">
        <f t="shared" si="15"/>
        <v>0.59899999999999998</v>
      </c>
      <c r="CB105" s="118">
        <f t="shared" si="16"/>
        <v>0.73</v>
      </c>
      <c r="CC105" s="119">
        <f t="shared" si="17"/>
        <v>8255.6986806197638</v>
      </c>
      <c r="CR105" s="100" t="s">
        <v>214</v>
      </c>
      <c r="CS105" s="104" t="str">
        <f t="shared" si="20"/>
        <v>Prince Edward Island</v>
      </c>
    </row>
    <row r="106" spans="3:97" ht="15" customHeight="1" x14ac:dyDescent="0.25">
      <c r="C106" s="257" t="s">
        <v>1064</v>
      </c>
      <c r="D106" s="258"/>
      <c r="E106" s="265">
        <f>E70/$E$68</f>
        <v>5.8823529411764701E-4</v>
      </c>
      <c r="F106" s="259" t="s">
        <v>736</v>
      </c>
      <c r="G106" s="51"/>
      <c r="H106" s="51"/>
      <c r="M106" s="214"/>
      <c r="N106" s="214"/>
      <c r="O106" s="214"/>
      <c r="P106" s="214"/>
      <c r="Q106" s="214"/>
      <c r="R106" s="214"/>
      <c r="S106" s="264"/>
      <c r="T106" s="214"/>
      <c r="BY106" s="117" t="s">
        <v>1065</v>
      </c>
      <c r="BZ106" s="118">
        <f t="shared" si="14"/>
        <v>1730.799</v>
      </c>
      <c r="CA106" s="118">
        <f t="shared" si="15"/>
        <v>0.33600000000000002</v>
      </c>
      <c r="CB106" s="118">
        <f t="shared" si="16"/>
        <v>1.57</v>
      </c>
      <c r="CC106" s="119">
        <f t="shared" si="17"/>
        <v>9932.8056710814071</v>
      </c>
      <c r="CR106" s="100" t="s">
        <v>216</v>
      </c>
      <c r="CS106" s="104" t="str">
        <f t="shared" si="20"/>
        <v>Quebec</v>
      </c>
    </row>
    <row r="107" spans="3:97" ht="15" customHeight="1" thickBot="1" x14ac:dyDescent="0.3">
      <c r="C107" s="260" t="s">
        <v>1066</v>
      </c>
      <c r="D107" s="261"/>
      <c r="E107" s="266">
        <f>E71/$E$68</f>
        <v>0.12342047930283224</v>
      </c>
      <c r="F107" s="263" t="s">
        <v>736</v>
      </c>
      <c r="G107" s="51"/>
      <c r="H107" s="51"/>
      <c r="M107" s="214"/>
      <c r="N107" s="214"/>
      <c r="O107" s="214"/>
      <c r="P107" s="214"/>
      <c r="Q107" s="214"/>
      <c r="R107" s="214"/>
      <c r="S107" s="264"/>
      <c r="T107" s="214"/>
      <c r="BY107" s="117" t="s">
        <v>1067</v>
      </c>
      <c r="BZ107" s="118">
        <f t="shared" si="14"/>
        <v>897.95399999999995</v>
      </c>
      <c r="CA107" s="118">
        <f t="shared" si="15"/>
        <v>4.3999999999999997E-2</v>
      </c>
      <c r="CB107" s="118">
        <f t="shared" si="16"/>
        <v>0.214</v>
      </c>
      <c r="CC107" s="119">
        <f t="shared" si="17"/>
        <v>8294.0623573800822</v>
      </c>
      <c r="CR107" s="85" t="s">
        <v>218</v>
      </c>
      <c r="CS107" s="105" t="str">
        <f t="shared" si="20"/>
        <v>Saskatchewan</v>
      </c>
    </row>
    <row r="108" spans="3:97" ht="15" customHeight="1" x14ac:dyDescent="0.25">
      <c r="C108" s="253" t="s">
        <v>1068</v>
      </c>
      <c r="D108" s="254"/>
      <c r="E108" s="267">
        <f>E73*(1-G17)</f>
        <v>12500</v>
      </c>
      <c r="F108" s="256" t="s">
        <v>1069</v>
      </c>
      <c r="G108" s="51"/>
      <c r="H108" s="51"/>
      <c r="M108" s="214"/>
      <c r="N108" s="214"/>
      <c r="O108" s="214"/>
      <c r="P108" s="214"/>
      <c r="Q108" s="214"/>
      <c r="R108" s="214"/>
      <c r="S108" s="268"/>
      <c r="T108" s="214"/>
      <c r="BY108" s="117" t="s">
        <v>1070</v>
      </c>
      <c r="BZ108" s="118">
        <f t="shared" si="14"/>
        <v>3308.1320000000001</v>
      </c>
      <c r="CA108" s="118">
        <f t="shared" si="15"/>
        <v>4.9480000000000004</v>
      </c>
      <c r="CB108" s="118">
        <f t="shared" si="16"/>
        <v>8.4540000000000006</v>
      </c>
      <c r="CC108" s="119">
        <f t="shared" si="17"/>
        <v>1619240.0488237869</v>
      </c>
    </row>
    <row r="109" spans="3:97" ht="15" customHeight="1" x14ac:dyDescent="0.25">
      <c r="C109" s="257" t="s">
        <v>1071</v>
      </c>
      <c r="D109" s="258"/>
      <c r="E109" s="116">
        <f>E74</f>
        <v>0.1</v>
      </c>
      <c r="F109" s="259" t="s">
        <v>1069</v>
      </c>
      <c r="G109" s="51"/>
      <c r="H109" s="51"/>
      <c r="M109" s="214"/>
      <c r="N109" s="214"/>
      <c r="O109" s="214"/>
      <c r="P109" s="214"/>
      <c r="Q109" s="214"/>
      <c r="R109" s="214"/>
      <c r="S109" s="214"/>
      <c r="T109" s="214"/>
      <c r="BY109" s="117" t="s">
        <v>1072</v>
      </c>
      <c r="BZ109" s="118">
        <f t="shared" si="14"/>
        <v>1134.4549999999999</v>
      </c>
      <c r="CA109" s="118">
        <f t="shared" si="15"/>
        <v>0.106</v>
      </c>
      <c r="CB109" s="118">
        <f t="shared" si="16"/>
        <v>0.66500000000000004</v>
      </c>
      <c r="CC109" s="119">
        <f t="shared" si="17"/>
        <v>8594.8726205185794</v>
      </c>
    </row>
    <row r="110" spans="3:97" ht="15" customHeight="1" thickBot="1" x14ac:dyDescent="0.3">
      <c r="C110" s="260" t="s">
        <v>1073</v>
      </c>
      <c r="D110" s="261"/>
      <c r="E110" s="262">
        <f>E75</f>
        <v>13</v>
      </c>
      <c r="F110" s="263" t="s">
        <v>1069</v>
      </c>
      <c r="G110" s="51"/>
      <c r="H110" s="51"/>
      <c r="M110" s="214"/>
      <c r="N110" s="214"/>
      <c r="O110" s="214"/>
      <c r="P110" s="214"/>
      <c r="Q110" s="214"/>
      <c r="R110" s="214"/>
      <c r="S110" s="214"/>
      <c r="T110" s="269"/>
      <c r="BY110" s="117" t="s">
        <v>1074</v>
      </c>
      <c r="BZ110" s="118">
        <f t="shared" si="14"/>
        <v>1539.845</v>
      </c>
      <c r="CA110" s="118">
        <f t="shared" si="15"/>
        <v>0.159</v>
      </c>
      <c r="CB110" s="118">
        <f t="shared" si="16"/>
        <v>0.626</v>
      </c>
      <c r="CC110" s="119">
        <f t="shared" si="17"/>
        <v>9639.8645274514802</v>
      </c>
    </row>
    <row r="111" spans="3:97" ht="15" customHeight="1" x14ac:dyDescent="0.25">
      <c r="C111" s="253" t="s">
        <v>1075</v>
      </c>
      <c r="D111" s="254"/>
      <c r="E111" s="267">
        <f>E77*(1-G19)</f>
        <v>22300</v>
      </c>
      <c r="F111" s="256" t="s">
        <v>1069</v>
      </c>
      <c r="G111" s="51"/>
      <c r="H111" s="51"/>
      <c r="M111" s="214"/>
      <c r="N111" s="214"/>
      <c r="O111" s="214"/>
      <c r="P111" s="214"/>
      <c r="Q111" s="214"/>
      <c r="R111" s="214"/>
      <c r="S111" s="268"/>
      <c r="T111" s="214"/>
      <c r="BY111" s="117" t="s">
        <v>1076</v>
      </c>
      <c r="BZ111" s="118">
        <f t="shared" si="14"/>
        <v>2099.5309999999999</v>
      </c>
      <c r="CA111" s="118">
        <f t="shared" si="15"/>
        <v>1.609</v>
      </c>
      <c r="CB111" s="118">
        <f t="shared" si="16"/>
        <v>1.141</v>
      </c>
      <c r="CC111" s="119">
        <f t="shared" si="17"/>
        <v>10571.221601341316</v>
      </c>
    </row>
    <row r="112" spans="3:97" ht="15" customHeight="1" x14ac:dyDescent="0.25">
      <c r="C112" s="257" t="s">
        <v>1077</v>
      </c>
      <c r="D112" s="258"/>
      <c r="E112" s="116">
        <f>E78</f>
        <v>142</v>
      </c>
      <c r="F112" s="259" t="s">
        <v>1069</v>
      </c>
      <c r="G112" s="51"/>
      <c r="H112" s="51"/>
      <c r="M112" s="214"/>
      <c r="N112" s="214"/>
      <c r="O112" s="214"/>
      <c r="P112" s="214"/>
      <c r="Q112" s="214"/>
      <c r="R112" s="214"/>
      <c r="S112" s="214"/>
      <c r="T112" s="214"/>
      <c r="BY112" s="270" t="s">
        <v>1078</v>
      </c>
      <c r="BZ112" s="118">
        <f t="shared" si="14"/>
        <v>2354.4009999999998</v>
      </c>
      <c r="CA112" s="118">
        <f t="shared" si="15"/>
        <v>1.4410000000000001</v>
      </c>
      <c r="CB112" s="118">
        <f t="shared" si="16"/>
        <v>1.554</v>
      </c>
      <c r="CC112" s="119">
        <f t="shared" si="17"/>
        <v>11492.196746111327</v>
      </c>
    </row>
    <row r="113" spans="3:81" ht="15" customHeight="1" thickBot="1" x14ac:dyDescent="0.3">
      <c r="C113" s="260" t="s">
        <v>1079</v>
      </c>
      <c r="D113" s="261"/>
      <c r="E113" s="262">
        <f>E79</f>
        <v>24</v>
      </c>
      <c r="F113" s="263" t="s">
        <v>1069</v>
      </c>
      <c r="G113" s="51"/>
      <c r="H113" s="51"/>
      <c r="M113" s="214"/>
      <c r="N113" s="214"/>
      <c r="O113" s="214"/>
      <c r="P113" s="214"/>
      <c r="Q113" s="214"/>
      <c r="R113" s="214"/>
      <c r="S113" s="214"/>
      <c r="T113" s="214"/>
      <c r="BY113" s="117"/>
      <c r="CC113" s="271"/>
    </row>
    <row r="114" spans="3:81" ht="15" customHeight="1" x14ac:dyDescent="0.25">
      <c r="C114" s="272" t="s">
        <v>1080</v>
      </c>
      <c r="D114" s="273"/>
      <c r="E114" s="274">
        <f>E92*$E$101/1000000</f>
        <v>125.48416353198139</v>
      </c>
      <c r="F114" s="275" t="s">
        <v>1034</v>
      </c>
      <c r="G114" s="275"/>
      <c r="H114" s="275"/>
      <c r="I114" s="274">
        <f>I92*$E$101/1000000</f>
        <v>0</v>
      </c>
      <c r="J114" s="275"/>
      <c r="K114" s="274">
        <f>K92*$E$101/1000000</f>
        <v>0</v>
      </c>
      <c r="L114" s="275"/>
      <c r="M114" s="276">
        <f>M92*$E$101/1000000</f>
        <v>0</v>
      </c>
      <c r="N114" s="277"/>
      <c r="O114" s="276">
        <f>O92*$E$101/1000000</f>
        <v>0</v>
      </c>
      <c r="P114" s="277"/>
      <c r="Q114" s="276">
        <f>Q92*$E$101/1000000</f>
        <v>0</v>
      </c>
      <c r="R114" s="277"/>
      <c r="S114" s="278">
        <f>S92*$E$101/1000000</f>
        <v>0</v>
      </c>
      <c r="T114" s="214"/>
      <c r="BY114" s="440" t="s">
        <v>288</v>
      </c>
      <c r="BZ114" s="441">
        <f t="shared" ref="BZ114:CB129" si="21">AF61</f>
        <v>899.63300000000004</v>
      </c>
      <c r="CA114" s="441">
        <f t="shared" si="21"/>
        <v>0.82099999999999995</v>
      </c>
      <c r="CB114" s="441">
        <f t="shared" si="21"/>
        <v>0.91400000000000003</v>
      </c>
      <c r="CC114" s="442">
        <f t="shared" ref="CC114:CC147" si="22">AZ61</f>
        <v>6764.2239602386589</v>
      </c>
    </row>
    <row r="115" spans="3:81" ht="15" customHeight="1" x14ac:dyDescent="0.25">
      <c r="C115" s="279" t="s">
        <v>1081</v>
      </c>
      <c r="D115" s="280"/>
      <c r="E115" s="281">
        <f>E$92/1000*$E102</f>
        <v>18394.512756131779</v>
      </c>
      <c r="F115" s="282" t="s">
        <v>1082</v>
      </c>
      <c r="G115" s="282"/>
      <c r="H115" s="282"/>
      <c r="I115" s="281">
        <f>I$92/1000*$E102</f>
        <v>0</v>
      </c>
      <c r="J115" s="281"/>
      <c r="K115" s="281">
        <f>K$92/1000*$E102</f>
        <v>0</v>
      </c>
      <c r="L115" s="281"/>
      <c r="M115" s="283">
        <f>M$92/1000*$E102</f>
        <v>0</v>
      </c>
      <c r="N115" s="283"/>
      <c r="O115" s="283">
        <f>O$92/1000*$E102</f>
        <v>0</v>
      </c>
      <c r="P115" s="283"/>
      <c r="Q115" s="283">
        <f>Q$92/1000*$E102</f>
        <v>0</v>
      </c>
      <c r="R115" s="283"/>
      <c r="S115" s="284">
        <f>S$92/1000*$E102</f>
        <v>0</v>
      </c>
      <c r="T115" s="214"/>
      <c r="BY115" s="443" t="s">
        <v>291</v>
      </c>
      <c r="BZ115" s="444">
        <f t="shared" si="21"/>
        <v>520.48299999999995</v>
      </c>
      <c r="CA115" s="444">
        <f t="shared" si="21"/>
        <v>2.359</v>
      </c>
      <c r="CB115" s="444">
        <f t="shared" si="21"/>
        <v>2.25</v>
      </c>
      <c r="CC115" s="445">
        <f t="shared" si="22"/>
        <v>3449.6985207727562</v>
      </c>
    </row>
    <row r="116" spans="3:81" ht="15" customHeight="1" x14ac:dyDescent="0.25">
      <c r="C116" s="285" t="s">
        <v>1083</v>
      </c>
      <c r="D116" s="25"/>
      <c r="E116" s="99">
        <f>E$92/1000*$E103</f>
        <v>8.2106788715740002</v>
      </c>
      <c r="F116" t="s">
        <v>1082</v>
      </c>
      <c r="I116" s="99">
        <f>I$92/1000*$E103</f>
        <v>0</v>
      </c>
      <c r="J116" s="99"/>
      <c r="K116" s="99">
        <f>K$92/1000*$E103</f>
        <v>0</v>
      </c>
      <c r="L116" s="99"/>
      <c r="M116" s="236">
        <f>M$92/1000*$E103</f>
        <v>0</v>
      </c>
      <c r="N116" s="236"/>
      <c r="O116" s="236">
        <f>O$92/1000*$E103</f>
        <v>0</v>
      </c>
      <c r="P116" s="236"/>
      <c r="Q116" s="236">
        <f>Q$92/1000*$E103</f>
        <v>0</v>
      </c>
      <c r="R116" s="236"/>
      <c r="S116" s="237">
        <f>S$92/1000*$E103</f>
        <v>0</v>
      </c>
      <c r="T116" s="214"/>
      <c r="BY116" s="443" t="s">
        <v>318</v>
      </c>
      <c r="BZ116" s="444">
        <f t="shared" si="21"/>
        <v>703.70299999999997</v>
      </c>
      <c r="CA116" s="444">
        <f t="shared" si="21"/>
        <v>7.0999999999999994E-2</v>
      </c>
      <c r="CB116" s="444">
        <f t="shared" si="21"/>
        <v>7.2999999999999995E-2</v>
      </c>
      <c r="CC116" s="445">
        <f t="shared" si="22"/>
        <v>5043.3600246319647</v>
      </c>
    </row>
    <row r="117" spans="3:81" ht="15" customHeight="1" thickBot="1" x14ac:dyDescent="0.3">
      <c r="C117" s="286" t="s">
        <v>1084</v>
      </c>
      <c r="D117" s="287"/>
      <c r="E117" s="238">
        <f>E$92/1000*$E104</f>
        <v>10.281449733364269</v>
      </c>
      <c r="F117" s="224" t="s">
        <v>1082</v>
      </c>
      <c r="G117" s="224"/>
      <c r="H117" s="224"/>
      <c r="I117" s="288">
        <f>I$92/1000*$E104</f>
        <v>0</v>
      </c>
      <c r="J117" s="238"/>
      <c r="K117" s="238">
        <f>K$92/1000*$E104</f>
        <v>0</v>
      </c>
      <c r="L117" s="238"/>
      <c r="M117" s="239">
        <f>M$92/1000*$E104</f>
        <v>0</v>
      </c>
      <c r="N117" s="239"/>
      <c r="O117" s="239">
        <f>O$92/1000*$E104</f>
        <v>0</v>
      </c>
      <c r="P117" s="239"/>
      <c r="Q117" s="239">
        <f>Q$92/1000*$E104</f>
        <v>0</v>
      </c>
      <c r="R117" s="239"/>
      <c r="S117" s="241">
        <f>S$92/1000*$E104</f>
        <v>0</v>
      </c>
      <c r="T117" s="214"/>
      <c r="BY117" s="443" t="s">
        <v>324</v>
      </c>
      <c r="BZ117" s="444">
        <f t="shared" si="21"/>
        <v>428.464</v>
      </c>
      <c r="CA117" s="444">
        <f t="shared" si="21"/>
        <v>0.09</v>
      </c>
      <c r="CB117" s="444">
        <f t="shared" si="21"/>
        <v>9.1999999999999998E-2</v>
      </c>
      <c r="CC117" s="445">
        <f t="shared" si="22"/>
        <v>3702.7910777458605</v>
      </c>
    </row>
    <row r="118" spans="3:81" ht="15" customHeight="1" x14ac:dyDescent="0.25">
      <c r="C118" s="272" t="s">
        <v>1085</v>
      </c>
      <c r="D118" s="273"/>
      <c r="E118" s="289">
        <f>E93</f>
        <v>0</v>
      </c>
      <c r="F118" s="273" t="s">
        <v>1034</v>
      </c>
      <c r="G118" s="273"/>
      <c r="H118" s="273"/>
      <c r="I118" s="289">
        <f>I93</f>
        <v>95.422994440657746</v>
      </c>
      <c r="J118" s="273"/>
      <c r="K118" s="289">
        <f>K93</f>
        <v>0</v>
      </c>
      <c r="L118" s="273"/>
      <c r="M118" s="290">
        <f>M93</f>
        <v>0</v>
      </c>
      <c r="N118" s="291"/>
      <c r="O118" s="290">
        <f>O93</f>
        <v>0</v>
      </c>
      <c r="P118" s="291"/>
      <c r="Q118" s="290">
        <f>Q93</f>
        <v>0</v>
      </c>
      <c r="R118" s="291"/>
      <c r="S118" s="292">
        <f>S93</f>
        <v>0</v>
      </c>
      <c r="T118" s="214"/>
      <c r="BY118" s="443" t="s">
        <v>514</v>
      </c>
      <c r="BZ118" s="444">
        <f t="shared" si="21"/>
        <v>733.86199999999997</v>
      </c>
      <c r="CA118" s="444">
        <f t="shared" si="21"/>
        <v>8.6999999999999994E-2</v>
      </c>
      <c r="CB118" s="444">
        <f t="shared" si="21"/>
        <v>8.5999999999999993E-2</v>
      </c>
      <c r="CC118" s="445">
        <f t="shared" si="22"/>
        <v>5116.8873713140438</v>
      </c>
    </row>
    <row r="119" spans="3:81" ht="15" customHeight="1" x14ac:dyDescent="0.25">
      <c r="C119" s="279" t="s">
        <v>1086</v>
      </c>
      <c r="D119" s="280"/>
      <c r="E119" s="281">
        <f>$E105*E$93</f>
        <v>0</v>
      </c>
      <c r="F119" s="282" t="s">
        <v>1082</v>
      </c>
      <c r="G119" s="282"/>
      <c r="H119" s="282"/>
      <c r="I119" s="281">
        <f>$E105*I$93</f>
        <v>11226.234640077382</v>
      </c>
      <c r="J119" s="281"/>
      <c r="K119" s="281">
        <f>$E105*K$93</f>
        <v>0</v>
      </c>
      <c r="L119" s="281"/>
      <c r="M119" s="283">
        <f>$E105*M$93</f>
        <v>0</v>
      </c>
      <c r="N119" s="283"/>
      <c r="O119" s="283">
        <f>$E105*O$93</f>
        <v>0</v>
      </c>
      <c r="P119" s="283"/>
      <c r="Q119" s="283">
        <f>$E105*Q$93</f>
        <v>0</v>
      </c>
      <c r="R119" s="283"/>
      <c r="S119" s="284">
        <f>$E105*S$93</f>
        <v>0</v>
      </c>
      <c r="T119" s="214"/>
      <c r="BY119" s="443" t="s">
        <v>349</v>
      </c>
      <c r="BZ119" s="444">
        <f t="shared" si="21"/>
        <v>782.26199999999994</v>
      </c>
      <c r="CA119" s="444">
        <f t="shared" si="21"/>
        <v>3.9E-2</v>
      </c>
      <c r="CB119" s="444">
        <f t="shared" si="21"/>
        <v>3.7999999999999999E-2</v>
      </c>
      <c r="CC119" s="445">
        <f t="shared" si="22"/>
        <v>6243.1080705344975</v>
      </c>
    </row>
    <row r="120" spans="3:81" ht="15" customHeight="1" x14ac:dyDescent="0.25">
      <c r="C120" s="285" t="s">
        <v>1087</v>
      </c>
      <c r="D120" s="25"/>
      <c r="E120" s="99">
        <f>$E106*E$93</f>
        <v>0</v>
      </c>
      <c r="F120" t="s">
        <v>1082</v>
      </c>
      <c r="I120" s="99">
        <f>$E106*I$93</f>
        <v>5.6131173200386901E-2</v>
      </c>
      <c r="J120" s="99"/>
      <c r="K120" s="99">
        <f>$E106*K$93</f>
        <v>0</v>
      </c>
      <c r="L120" s="99"/>
      <c r="M120" s="236">
        <f>$E106*M$93</f>
        <v>0</v>
      </c>
      <c r="N120" s="236"/>
      <c r="O120" s="236">
        <f>$E106*O$93</f>
        <v>0</v>
      </c>
      <c r="P120" s="236"/>
      <c r="Q120" s="236">
        <f>$E106*Q$93</f>
        <v>0</v>
      </c>
      <c r="R120" s="236"/>
      <c r="S120" s="237">
        <f>$E106*S$93</f>
        <v>0</v>
      </c>
      <c r="T120" s="214"/>
      <c r="BY120" s="443" t="s">
        <v>364</v>
      </c>
      <c r="BZ120" s="444">
        <f t="shared" si="21"/>
        <v>1123.3710000000001</v>
      </c>
      <c r="CA120" s="444">
        <f t="shared" si="21"/>
        <v>1.026</v>
      </c>
      <c r="CB120" s="444">
        <f t="shared" si="21"/>
        <v>1.0149999999999999</v>
      </c>
      <c r="CC120" s="445">
        <f t="shared" si="22"/>
        <v>7375.0381553948137</v>
      </c>
    </row>
    <row r="121" spans="3:81" ht="15" customHeight="1" thickBot="1" x14ac:dyDescent="0.3">
      <c r="C121" s="286" t="s">
        <v>1088</v>
      </c>
      <c r="D121" s="287"/>
      <c r="E121" s="238">
        <f>$E107*E$93</f>
        <v>0</v>
      </c>
      <c r="F121" s="224" t="s">
        <v>1082</v>
      </c>
      <c r="G121" s="224"/>
      <c r="H121" s="224"/>
      <c r="I121" s="288">
        <f>$E107*I$93</f>
        <v>11.777151710377476</v>
      </c>
      <c r="J121" s="238"/>
      <c r="K121" s="238">
        <f>$E107*K$93</f>
        <v>0</v>
      </c>
      <c r="L121" s="238"/>
      <c r="M121" s="239">
        <f>$E107*M$93</f>
        <v>0</v>
      </c>
      <c r="N121" s="239"/>
      <c r="O121" s="239">
        <f>$E107*O$93</f>
        <v>0</v>
      </c>
      <c r="P121" s="239"/>
      <c r="Q121" s="239">
        <f>$E107*Q$93</f>
        <v>0</v>
      </c>
      <c r="R121" s="239"/>
      <c r="S121" s="241">
        <f>$E107*S$93</f>
        <v>0</v>
      </c>
      <c r="T121" s="214"/>
      <c r="BY121" s="443" t="s">
        <v>367</v>
      </c>
      <c r="BZ121" s="444">
        <f t="shared" si="21"/>
        <v>1489.548</v>
      </c>
      <c r="CA121" s="444">
        <f t="shared" si="21"/>
        <v>0.41299999999999998</v>
      </c>
      <c r="CB121" s="444">
        <f t="shared" si="21"/>
        <v>0.40300000000000002</v>
      </c>
      <c r="CC121" s="445">
        <f t="shared" si="22"/>
        <v>9464.6814567387537</v>
      </c>
    </row>
    <row r="122" spans="3:81" ht="15" customHeight="1" x14ac:dyDescent="0.25">
      <c r="C122" s="272" t="s">
        <v>712</v>
      </c>
      <c r="D122" s="273"/>
      <c r="E122" s="274">
        <f>E94/1000*$E$72</f>
        <v>0</v>
      </c>
      <c r="F122" s="275" t="s">
        <v>1034</v>
      </c>
      <c r="G122" s="275"/>
      <c r="H122" s="275"/>
      <c r="I122" s="274">
        <f>I94/1000*$E$72</f>
        <v>0</v>
      </c>
      <c r="J122" s="275"/>
      <c r="K122" s="274">
        <f>K94/1000*$E$72</f>
        <v>0</v>
      </c>
      <c r="L122" s="275"/>
      <c r="M122" s="276">
        <f>M94/1000*$E$72</f>
        <v>0</v>
      </c>
      <c r="N122" s="277"/>
      <c r="O122" s="276">
        <f>O94/1000*$E$72</f>
        <v>0</v>
      </c>
      <c r="P122" s="277"/>
      <c r="Q122" s="276">
        <f>Q94/1000*$E$72</f>
        <v>0</v>
      </c>
      <c r="R122" s="277"/>
      <c r="S122" s="278">
        <f>S94/1000*$E$72</f>
        <v>0</v>
      </c>
      <c r="T122" s="214"/>
      <c r="BY122" s="443" t="s">
        <v>544</v>
      </c>
      <c r="BZ122" s="444">
        <f t="shared" si="21"/>
        <v>1397.3130000000001</v>
      </c>
      <c r="CA122" s="444">
        <f t="shared" si="21"/>
        <v>0.112</v>
      </c>
      <c r="CB122" s="444">
        <f t="shared" si="21"/>
        <v>0.11</v>
      </c>
      <c r="CC122" s="445">
        <f t="shared" si="22"/>
        <v>8803.1514131956992</v>
      </c>
    </row>
    <row r="123" spans="3:81" ht="15" customHeight="1" x14ac:dyDescent="0.25">
      <c r="C123" s="279" t="s">
        <v>1089</v>
      </c>
      <c r="D123" s="280"/>
      <c r="E123" s="281">
        <f>E$94*$E108/1000</f>
        <v>0</v>
      </c>
      <c r="F123" s="282" t="s">
        <v>1082</v>
      </c>
      <c r="G123" s="282"/>
      <c r="H123" s="282"/>
      <c r="I123" s="281">
        <f>I$94*$E108/1000</f>
        <v>0</v>
      </c>
      <c r="J123" s="281"/>
      <c r="K123" s="281">
        <f>K$94*$E108/1000</f>
        <v>0</v>
      </c>
      <c r="L123" s="281"/>
      <c r="M123" s="283">
        <f>M$94*$E108/1000</f>
        <v>0</v>
      </c>
      <c r="N123" s="283"/>
      <c r="O123" s="283">
        <f>O$94*$E108/1000</f>
        <v>0</v>
      </c>
      <c r="P123" s="283"/>
      <c r="Q123" s="283">
        <f>Q$94*$E108/1000</f>
        <v>0</v>
      </c>
      <c r="R123" s="283"/>
      <c r="S123" s="284">
        <f>S$94*$E108/1000</f>
        <v>0</v>
      </c>
      <c r="T123" s="214"/>
      <c r="BY123" s="443" t="s">
        <v>372</v>
      </c>
      <c r="BZ123" s="444">
        <f t="shared" si="21"/>
        <v>920.13</v>
      </c>
      <c r="CA123" s="444">
        <f t="shared" si="21"/>
        <v>0.14599999999999999</v>
      </c>
      <c r="CB123" s="444">
        <f t="shared" si="21"/>
        <v>0.14299999999999999</v>
      </c>
      <c r="CC123" s="445">
        <f t="shared" si="22"/>
        <v>4877.561776814151</v>
      </c>
    </row>
    <row r="124" spans="3:81" ht="15" customHeight="1" x14ac:dyDescent="0.25">
      <c r="C124" s="285" t="s">
        <v>1090</v>
      </c>
      <c r="D124" s="25"/>
      <c r="E124" s="99">
        <f>E$94*$E109/1000</f>
        <v>0</v>
      </c>
      <c r="F124" t="s">
        <v>1082</v>
      </c>
      <c r="I124" s="99">
        <f>I$94*$E109/1000</f>
        <v>0</v>
      </c>
      <c r="J124" s="99"/>
      <c r="K124" s="99">
        <f>K$94*$E109/1000</f>
        <v>0</v>
      </c>
      <c r="L124" s="99"/>
      <c r="M124" s="236">
        <f>M$94*$E109/1000</f>
        <v>0</v>
      </c>
      <c r="N124" s="236"/>
      <c r="O124" s="236">
        <f>O$94*$E109/1000</f>
        <v>0</v>
      </c>
      <c r="P124" s="236"/>
      <c r="Q124" s="236">
        <f>Q$94*$E109/1000</f>
        <v>0</v>
      </c>
      <c r="R124" s="236"/>
      <c r="S124" s="237">
        <f>S$94*$E109/1000</f>
        <v>0</v>
      </c>
      <c r="T124" s="214"/>
      <c r="BY124" s="443" t="s">
        <v>342</v>
      </c>
      <c r="BZ124" s="444">
        <f t="shared" si="21"/>
        <v>539.27499999999998</v>
      </c>
      <c r="CA124" s="444">
        <f t="shared" si="21"/>
        <v>0.06</v>
      </c>
      <c r="CB124" s="444">
        <f t="shared" si="21"/>
        <v>5.5E-2</v>
      </c>
      <c r="CC124" s="445">
        <f t="shared" si="22"/>
        <v>4890.7195860009851</v>
      </c>
    </row>
    <row r="125" spans="3:81" ht="15" customHeight="1" thickBot="1" x14ac:dyDescent="0.3">
      <c r="C125" s="286" t="s">
        <v>1091</v>
      </c>
      <c r="D125" s="287"/>
      <c r="E125" s="238">
        <f>E$94*$E110/1000</f>
        <v>0</v>
      </c>
      <c r="F125" s="224" t="s">
        <v>1082</v>
      </c>
      <c r="G125" s="224"/>
      <c r="H125" s="224"/>
      <c r="I125" s="238">
        <f>I$94*$E110/1000</f>
        <v>0</v>
      </c>
      <c r="J125" s="238"/>
      <c r="K125" s="238">
        <f>K$94*$E110/1000</f>
        <v>0</v>
      </c>
      <c r="L125" s="238"/>
      <c r="M125" s="239">
        <f>M$94*$E110/1000</f>
        <v>0</v>
      </c>
      <c r="N125" s="239"/>
      <c r="O125" s="239">
        <f>O$94*$E110/1000</f>
        <v>0</v>
      </c>
      <c r="P125" s="239"/>
      <c r="Q125" s="239">
        <f>Q$94*$E110/1000</f>
        <v>0</v>
      </c>
      <c r="R125" s="239"/>
      <c r="S125" s="241">
        <f>S$94*$E110/1000</f>
        <v>0</v>
      </c>
      <c r="T125" s="214"/>
      <c r="BY125" s="443" t="s">
        <v>378</v>
      </c>
      <c r="BZ125" s="444">
        <f t="shared" si="21"/>
        <v>631.73500000000001</v>
      </c>
      <c r="CA125" s="444">
        <f t="shared" si="21"/>
        <v>0.14299999999999999</v>
      </c>
      <c r="CB125" s="444">
        <f t="shared" si="21"/>
        <v>0.13900000000000001</v>
      </c>
      <c r="CC125" s="445">
        <f t="shared" si="22"/>
        <v>3974.9941783698264</v>
      </c>
    </row>
    <row r="126" spans="3:81" ht="15" customHeight="1" x14ac:dyDescent="0.25">
      <c r="C126" s="272" t="s">
        <v>1092</v>
      </c>
      <c r="D126" s="273"/>
      <c r="E126" s="274">
        <f>E95/1000*$E$76</f>
        <v>0</v>
      </c>
      <c r="F126" s="275" t="s">
        <v>1034</v>
      </c>
      <c r="G126" s="275"/>
      <c r="H126" s="275"/>
      <c r="I126" s="274">
        <f>I95/1000*$E$76</f>
        <v>0</v>
      </c>
      <c r="J126" s="275"/>
      <c r="K126" s="274">
        <f>K95/1000*$E$76</f>
        <v>0</v>
      </c>
      <c r="L126" s="275"/>
      <c r="M126" s="276">
        <f>M95/1000*$E$76</f>
        <v>0</v>
      </c>
      <c r="N126" s="277"/>
      <c r="O126" s="276">
        <f>O95/1000*$E$76</f>
        <v>0</v>
      </c>
      <c r="P126" s="277"/>
      <c r="Q126" s="276">
        <f>Q95/1000*$E$76</f>
        <v>0</v>
      </c>
      <c r="R126" s="277"/>
      <c r="S126" s="278">
        <f>S95/1000*$E$76</f>
        <v>0</v>
      </c>
      <c r="T126" s="214"/>
      <c r="BY126" s="443" t="s">
        <v>475</v>
      </c>
      <c r="BZ126" s="444">
        <f t="shared" si="21"/>
        <v>864.46900000000005</v>
      </c>
      <c r="CA126" s="444">
        <f t="shared" si="21"/>
        <v>3.2000000000000001E-2</v>
      </c>
      <c r="CB126" s="444">
        <f t="shared" si="21"/>
        <v>3.4000000000000002E-2</v>
      </c>
      <c r="CC126" s="445">
        <f t="shared" si="22"/>
        <v>7288.9777012295599</v>
      </c>
    </row>
    <row r="127" spans="3:81" ht="15" customHeight="1" x14ac:dyDescent="0.25">
      <c r="C127" s="279" t="s">
        <v>1093</v>
      </c>
      <c r="D127" s="280"/>
      <c r="E127" s="281">
        <f>E$95*$E111/1000</f>
        <v>0</v>
      </c>
      <c r="F127" s="282" t="s">
        <v>1082</v>
      </c>
      <c r="G127" s="282"/>
      <c r="H127" s="282"/>
      <c r="I127" s="281">
        <f>I$95*$E111/1000</f>
        <v>0</v>
      </c>
      <c r="J127" s="281"/>
      <c r="K127" s="281">
        <f>K$95*$E111/1000</f>
        <v>0</v>
      </c>
      <c r="L127" s="281"/>
      <c r="M127" s="283">
        <f>M$95*$E111/1000</f>
        <v>0</v>
      </c>
      <c r="N127" s="283"/>
      <c r="O127" s="283">
        <f>O$95*$E111/1000</f>
        <v>0</v>
      </c>
      <c r="P127" s="283"/>
      <c r="Q127" s="283">
        <f>Q$95*$E111/1000</f>
        <v>0</v>
      </c>
      <c r="R127" s="283"/>
      <c r="S127" s="284">
        <f>S$95*$E111/1000</f>
        <v>0</v>
      </c>
      <c r="T127" s="214"/>
      <c r="BW127" s="5" t="s">
        <v>1094</v>
      </c>
      <c r="BY127" s="443" t="s">
        <v>911</v>
      </c>
      <c r="BZ127" s="444">
        <f t="shared" si="21"/>
        <v>1180.672</v>
      </c>
      <c r="CA127" s="444">
        <f t="shared" si="21"/>
        <v>8.3000000000000004E-2</v>
      </c>
      <c r="CB127" s="444">
        <f t="shared" si="21"/>
        <v>7.6999999999999999E-2</v>
      </c>
      <c r="CC127" s="445">
        <f t="shared" si="22"/>
        <v>9990.163572690708</v>
      </c>
    </row>
    <row r="128" spans="3:81" ht="15" customHeight="1" collapsed="1" x14ac:dyDescent="0.25">
      <c r="C128" s="285" t="s">
        <v>1095</v>
      </c>
      <c r="D128" s="25"/>
      <c r="E128" s="99">
        <f>E$95*$E112/1000</f>
        <v>0</v>
      </c>
      <c r="F128" t="s">
        <v>1082</v>
      </c>
      <c r="I128" s="99">
        <f>I$95*$E112/1000</f>
        <v>0</v>
      </c>
      <c r="J128" s="99"/>
      <c r="K128" s="99">
        <f>K$95*$E112/1000</f>
        <v>0</v>
      </c>
      <c r="L128" s="99"/>
      <c r="M128" s="236">
        <f>M$95*$E112/1000</f>
        <v>0</v>
      </c>
      <c r="N128" s="236"/>
      <c r="O128" s="236">
        <f>O$95*$E112/1000</f>
        <v>0</v>
      </c>
      <c r="P128" s="236"/>
      <c r="Q128" s="236">
        <f>Q$95*$E112/1000</f>
        <v>0</v>
      </c>
      <c r="R128" s="236"/>
      <c r="S128" s="237">
        <f>S$95*$E112/1000</f>
        <v>0</v>
      </c>
      <c r="T128" s="214"/>
      <c r="BY128" s="443" t="s">
        <v>469</v>
      </c>
      <c r="BZ128" s="444">
        <f t="shared" si="21"/>
        <v>242.089</v>
      </c>
      <c r="CA128" s="444">
        <f t="shared" si="21"/>
        <v>3.7999999999999999E-2</v>
      </c>
      <c r="CB128" s="444">
        <f t="shared" si="21"/>
        <v>3.5000000000000003E-2</v>
      </c>
      <c r="CC128" s="445">
        <f t="shared" si="22"/>
        <v>2210.1849128639233</v>
      </c>
    </row>
    <row r="129" spans="3:81" ht="15" customHeight="1" thickBot="1" x14ac:dyDescent="0.3">
      <c r="C129" s="286" t="s">
        <v>1096</v>
      </c>
      <c r="D129" s="287"/>
      <c r="E129" s="238">
        <f>E$95*$E113/1000</f>
        <v>0</v>
      </c>
      <c r="F129" s="224" t="s">
        <v>1082</v>
      </c>
      <c r="G129" s="224"/>
      <c r="H129" s="224"/>
      <c r="I129" s="238">
        <f>I$95*$E113/1000</f>
        <v>0</v>
      </c>
      <c r="J129" s="238"/>
      <c r="K129" s="238">
        <f>K$95*$E113/1000</f>
        <v>0</v>
      </c>
      <c r="L129" s="238"/>
      <c r="M129" s="239">
        <f>M$95*$E113/1000</f>
        <v>0</v>
      </c>
      <c r="N129" s="239"/>
      <c r="O129" s="239">
        <f>O$95*$E113/1000</f>
        <v>0</v>
      </c>
      <c r="P129" s="239"/>
      <c r="Q129" s="239">
        <f>Q$95*$E113/1000</f>
        <v>0</v>
      </c>
      <c r="R129" s="239"/>
      <c r="S129" s="241">
        <f>S$95*$E113/1000</f>
        <v>0</v>
      </c>
      <c r="T129" s="214"/>
      <c r="BY129" s="443" t="s">
        <v>345</v>
      </c>
      <c r="BZ129" s="444">
        <f t="shared" si="21"/>
        <v>596.904</v>
      </c>
      <c r="CA129" s="444">
        <f t="shared" si="21"/>
        <v>4.2999999999999997E-2</v>
      </c>
      <c r="CB129" s="444">
        <f t="shared" si="21"/>
        <v>4.2000000000000003E-2</v>
      </c>
      <c r="CC129" s="445">
        <f t="shared" si="22"/>
        <v>4724.9136757254682</v>
      </c>
    </row>
    <row r="130" spans="3:81" ht="15" customHeight="1" x14ac:dyDescent="0.25">
      <c r="C130" s="293" t="s">
        <v>1097</v>
      </c>
      <c r="D130" s="294"/>
      <c r="E130" s="229">
        <f>E115+E119+E123+E127</f>
        <v>18394.512756131779</v>
      </c>
      <c r="F130" s="230" t="s">
        <v>1082</v>
      </c>
      <c r="G130" s="230"/>
      <c r="H130" s="230"/>
      <c r="I130" s="229">
        <f>I115+I119+I123+I127</f>
        <v>11226.234640077382</v>
      </c>
      <c r="J130" s="229"/>
      <c r="K130" s="229">
        <f>K115+K119+K123+K127</f>
        <v>0</v>
      </c>
      <c r="L130" s="229"/>
      <c r="M130" s="231">
        <f>M115+M119+M123+M127</f>
        <v>0</v>
      </c>
      <c r="N130" s="231"/>
      <c r="O130" s="231">
        <f>O115+O119+O123+O127</f>
        <v>0</v>
      </c>
      <c r="P130" s="231"/>
      <c r="Q130" s="231">
        <f>Q115+Q119+Q123+Q127</f>
        <v>0</v>
      </c>
      <c r="R130" s="231"/>
      <c r="S130" s="233">
        <f>S115+S119+S123+S127</f>
        <v>0</v>
      </c>
      <c r="T130" s="214"/>
      <c r="BY130" s="443" t="s">
        <v>414</v>
      </c>
      <c r="BZ130" s="444">
        <f t="shared" ref="BZ130:CB145" si="23">AF77</f>
        <v>970.61699999999996</v>
      </c>
      <c r="CA130" s="444">
        <f t="shared" si="23"/>
        <v>7.5999999999999998E-2</v>
      </c>
      <c r="CB130" s="444">
        <f t="shared" si="23"/>
        <v>7.0000000000000007E-2</v>
      </c>
      <c r="CC130" s="445">
        <f t="shared" si="22"/>
        <v>6877.6671360472583</v>
      </c>
    </row>
    <row r="131" spans="3:81" ht="15" customHeight="1" x14ac:dyDescent="0.25">
      <c r="C131" s="285" t="s">
        <v>1098</v>
      </c>
      <c r="D131" s="25"/>
      <c r="E131" s="99">
        <f>E116+E120+E124+E128</f>
        <v>8.2106788715740002</v>
      </c>
      <c r="F131" t="s">
        <v>1082</v>
      </c>
      <c r="I131" s="99">
        <f>I116+I120+I124+I128</f>
        <v>5.6131173200386901E-2</v>
      </c>
      <c r="J131" s="99"/>
      <c r="K131" s="99">
        <f>K116+K120+K124+K128</f>
        <v>0</v>
      </c>
      <c r="L131" s="99"/>
      <c r="M131" s="236">
        <f>M116+M120+M124+M128</f>
        <v>0</v>
      </c>
      <c r="N131" s="236"/>
      <c r="O131" s="236">
        <f>O116+O120+O124+O128</f>
        <v>0</v>
      </c>
      <c r="P131" s="236"/>
      <c r="Q131" s="236">
        <f>Q116+Q120+Q124+Q128</f>
        <v>0</v>
      </c>
      <c r="R131" s="236"/>
      <c r="S131" s="237">
        <f>S116+S120+S124+S128</f>
        <v>0</v>
      </c>
      <c r="T131" s="214"/>
      <c r="BY131" s="443" t="s">
        <v>382</v>
      </c>
      <c r="BZ131" s="444">
        <f t="shared" si="23"/>
        <v>911.42399999999998</v>
      </c>
      <c r="CA131" s="444">
        <f t="shared" si="23"/>
        <v>7.4999999999999997E-2</v>
      </c>
      <c r="CB131" s="444">
        <f t="shared" si="23"/>
        <v>6.0999999999999999E-2</v>
      </c>
      <c r="CC131" s="445">
        <f t="shared" si="22"/>
        <v>5615.4405514217478</v>
      </c>
    </row>
    <row r="132" spans="3:81" ht="15" customHeight="1" thickBot="1" x14ac:dyDescent="0.3">
      <c r="C132" s="286" t="s">
        <v>1099</v>
      </c>
      <c r="D132" s="287"/>
      <c r="E132" s="238">
        <f>E117+E121+E125+E129</f>
        <v>10.281449733364269</v>
      </c>
      <c r="F132" s="224" t="s">
        <v>1082</v>
      </c>
      <c r="G132" s="224"/>
      <c r="H132" s="224"/>
      <c r="I132" s="238">
        <f>I117+I121+I125+I129</f>
        <v>11.777151710377476</v>
      </c>
      <c r="J132" s="238"/>
      <c r="K132" s="238">
        <f>K117+K121+K125+K129</f>
        <v>0</v>
      </c>
      <c r="L132" s="238"/>
      <c r="M132" s="239">
        <f>M117+M121+M125+M129</f>
        <v>0</v>
      </c>
      <c r="N132" s="239"/>
      <c r="O132" s="239">
        <f>O117+O121+O125+O129</f>
        <v>0</v>
      </c>
      <c r="P132" s="239"/>
      <c r="Q132" s="239">
        <f>Q117+Q121+Q125+Q129</f>
        <v>0</v>
      </c>
      <c r="R132" s="239"/>
      <c r="S132" s="241">
        <f>S117+S121+S125+S129</f>
        <v>0</v>
      </c>
      <c r="T132" s="214"/>
      <c r="BY132" s="443" t="s">
        <v>336</v>
      </c>
      <c r="BZ132" s="444">
        <f t="shared" si="23"/>
        <v>1036.6010000000001</v>
      </c>
      <c r="CA132" s="444">
        <f t="shared" si="23"/>
        <v>8.7999999999999995E-2</v>
      </c>
      <c r="CB132" s="444">
        <f t="shared" si="23"/>
        <v>8.5999999999999993E-2</v>
      </c>
      <c r="CC132" s="445">
        <f t="shared" si="22"/>
        <v>5960.3190546096321</v>
      </c>
    </row>
    <row r="133" spans="3:81" ht="15" customHeight="1" x14ac:dyDescent="0.25">
      <c r="C133" s="293" t="s">
        <v>1100</v>
      </c>
      <c r="D133" s="294"/>
      <c r="E133" s="229">
        <f>-(E130-E130)</f>
        <v>0</v>
      </c>
      <c r="F133" s="230" t="s">
        <v>1082</v>
      </c>
      <c r="G133" s="230"/>
      <c r="H133" s="230"/>
      <c r="I133" s="229">
        <f>-(I130-$E130)</f>
        <v>7168.2781160543964</v>
      </c>
      <c r="J133" s="229"/>
      <c r="K133" s="229"/>
      <c r="L133" s="229"/>
      <c r="M133" s="231"/>
      <c r="N133" s="231"/>
      <c r="O133" s="231"/>
      <c r="P133" s="231"/>
      <c r="Q133" s="231"/>
      <c r="R133" s="231"/>
      <c r="S133" s="233"/>
      <c r="T133" s="214"/>
      <c r="BY133" s="443" t="s">
        <v>394</v>
      </c>
      <c r="BZ133" s="444">
        <f t="shared" si="23"/>
        <v>861.99900000000002</v>
      </c>
      <c r="CA133" s="444">
        <f t="shared" si="23"/>
        <v>9.7000000000000003E-2</v>
      </c>
      <c r="CB133" s="444">
        <f t="shared" si="23"/>
        <v>9.5000000000000001E-2</v>
      </c>
      <c r="CC133" s="445">
        <f t="shared" si="22"/>
        <v>4745.3521026154258</v>
      </c>
    </row>
    <row r="134" spans="3:81" ht="15" customHeight="1" x14ac:dyDescent="0.25">
      <c r="C134" s="285" t="s">
        <v>1101</v>
      </c>
      <c r="D134" s="25"/>
      <c r="E134" s="99">
        <f>-(E131-$E131)</f>
        <v>0</v>
      </c>
      <c r="F134" t="s">
        <v>1082</v>
      </c>
      <c r="I134" s="99">
        <f>-(I131-$E131)</f>
        <v>8.154547698373614</v>
      </c>
      <c r="J134" s="99"/>
      <c r="K134" s="99"/>
      <c r="L134" s="99"/>
      <c r="M134" s="236"/>
      <c r="N134" s="236"/>
      <c r="O134" s="236"/>
      <c r="P134" s="236"/>
      <c r="Q134" s="236"/>
      <c r="R134" s="236"/>
      <c r="S134" s="237"/>
      <c r="T134" s="214"/>
      <c r="BY134" s="443" t="s">
        <v>406</v>
      </c>
      <c r="BZ134" s="444">
        <f t="shared" si="23"/>
        <v>872.04200000000003</v>
      </c>
      <c r="CA134" s="444">
        <f t="shared" si="23"/>
        <v>0.113</v>
      </c>
      <c r="CB134" s="444">
        <f t="shared" si="23"/>
        <v>0.112</v>
      </c>
      <c r="CC134" s="445">
        <f t="shared" si="22"/>
        <v>5980.1343985670264</v>
      </c>
    </row>
    <row r="135" spans="3:81" ht="15" customHeight="1" thickBot="1" x14ac:dyDescent="0.3">
      <c r="C135" s="286" t="s">
        <v>1102</v>
      </c>
      <c r="D135" s="287"/>
      <c r="E135" s="238">
        <f>-(E132-$E132)</f>
        <v>0</v>
      </c>
      <c r="F135" s="224" t="s">
        <v>1082</v>
      </c>
      <c r="G135" s="224"/>
      <c r="H135" s="224"/>
      <c r="I135" s="238">
        <f>-(I132-$E132)</f>
        <v>-1.4957019770132067</v>
      </c>
      <c r="J135" s="238"/>
      <c r="K135" s="238"/>
      <c r="L135" s="238"/>
      <c r="M135" s="239"/>
      <c r="N135" s="239"/>
      <c r="O135" s="239"/>
      <c r="P135" s="239"/>
      <c r="Q135" s="239"/>
      <c r="R135" s="239"/>
      <c r="S135" s="241"/>
      <c r="T135" s="214"/>
      <c r="BY135" s="443" t="s">
        <v>314</v>
      </c>
      <c r="BZ135" s="444">
        <f t="shared" si="23"/>
        <v>739.72</v>
      </c>
      <c r="CA135" s="444">
        <f t="shared" si="23"/>
        <v>8.5999999999999993E-2</v>
      </c>
      <c r="CB135" s="444">
        <f t="shared" si="23"/>
        <v>8.8999999999999996E-2</v>
      </c>
      <c r="CC135" s="445">
        <f t="shared" si="22"/>
        <v>5659.2795347285573</v>
      </c>
    </row>
    <row r="136" spans="3:81" ht="15" customHeight="1" x14ac:dyDescent="0.25">
      <c r="C136" s="293" t="s">
        <v>1103</v>
      </c>
      <c r="D136" s="294"/>
      <c r="E136" s="242">
        <f>E133/2000/1.1023</f>
        <v>0</v>
      </c>
      <c r="F136" s="230" t="s">
        <v>754</v>
      </c>
      <c r="G136" s="230"/>
      <c r="H136" s="230"/>
      <c r="I136" s="295">
        <f>I133/2000/1.1023</f>
        <v>3.2515096235391434</v>
      </c>
      <c r="J136" s="295"/>
      <c r="K136" s="295">
        <f t="shared" ref="K136:S136" si="24">K133/2000/1.1023</f>
        <v>0</v>
      </c>
      <c r="L136" s="295"/>
      <c r="M136" s="296">
        <f t="shared" si="24"/>
        <v>0</v>
      </c>
      <c r="N136" s="296"/>
      <c r="O136" s="296">
        <f t="shared" si="24"/>
        <v>0</v>
      </c>
      <c r="P136" s="296"/>
      <c r="Q136" s="296">
        <f t="shared" si="24"/>
        <v>0</v>
      </c>
      <c r="R136" s="296"/>
      <c r="S136" s="297">
        <f t="shared" si="24"/>
        <v>0</v>
      </c>
      <c r="T136" s="214"/>
      <c r="BY136" s="443" t="s">
        <v>386</v>
      </c>
      <c r="BZ136" s="444">
        <f t="shared" si="23"/>
        <v>1239.8389999999999</v>
      </c>
      <c r="CA136" s="444">
        <f t="shared" si="23"/>
        <v>0.12</v>
      </c>
      <c r="CB136" s="444">
        <f t="shared" si="23"/>
        <v>8.3000000000000004E-2</v>
      </c>
      <c r="CC136" s="445">
        <f t="shared" si="22"/>
        <v>6530.1478348215824</v>
      </c>
    </row>
    <row r="137" spans="3:81" ht="15" customHeight="1" x14ac:dyDescent="0.25">
      <c r="C137" s="285" t="s">
        <v>1104</v>
      </c>
      <c r="D137" s="25"/>
      <c r="E137" s="23">
        <f>E136/$E$81</f>
        <v>0</v>
      </c>
      <c r="F137" t="s">
        <v>1105</v>
      </c>
      <c r="I137" s="37">
        <f>I136/$E$81</f>
        <v>0.70684991816068343</v>
      </c>
      <c r="J137" s="37"/>
      <c r="K137" s="37">
        <f>K136/$E$81</f>
        <v>0</v>
      </c>
      <c r="L137" s="37"/>
      <c r="M137" s="298">
        <f>M136/$E$81</f>
        <v>0</v>
      </c>
      <c r="N137" s="298"/>
      <c r="O137" s="298">
        <f>O136/$E$81</f>
        <v>0</v>
      </c>
      <c r="P137" s="298"/>
      <c r="Q137" s="298">
        <f>Q136/$E$81</f>
        <v>0</v>
      </c>
      <c r="R137" s="298"/>
      <c r="S137" s="299">
        <f>S136/$E$81</f>
        <v>0</v>
      </c>
      <c r="T137" s="214"/>
      <c r="BY137" s="443" t="s">
        <v>306</v>
      </c>
      <c r="BZ137" s="444">
        <f t="shared" si="23"/>
        <v>842.32899999999995</v>
      </c>
      <c r="CA137" s="444">
        <f t="shared" si="23"/>
        <v>5.7000000000000002E-2</v>
      </c>
      <c r="CB137" s="444">
        <f t="shared" si="23"/>
        <v>5.1999999999999998E-2</v>
      </c>
      <c r="CC137" s="445">
        <f t="shared" si="22"/>
        <v>6105.0693303894068</v>
      </c>
    </row>
    <row r="138" spans="3:81" ht="15" customHeight="1" thickBot="1" x14ac:dyDescent="0.3">
      <c r="C138" s="286" t="s">
        <v>1106</v>
      </c>
      <c r="D138" s="287"/>
      <c r="E138" s="225">
        <f>E136/$E$82</f>
        <v>0</v>
      </c>
      <c r="F138" s="224" t="s">
        <v>1107</v>
      </c>
      <c r="G138" s="224"/>
      <c r="H138" s="224"/>
      <c r="I138" s="300">
        <f>I136/$E$82</f>
        <v>0.6776802049894004</v>
      </c>
      <c r="J138" s="300"/>
      <c r="K138" s="300">
        <f>K136/$E$82</f>
        <v>0</v>
      </c>
      <c r="L138" s="300"/>
      <c r="M138" s="301">
        <f>M136/$E$82</f>
        <v>0</v>
      </c>
      <c r="N138" s="301"/>
      <c r="O138" s="301">
        <f>O136/$E$82</f>
        <v>0</v>
      </c>
      <c r="P138" s="301"/>
      <c r="Q138" s="301">
        <f>Q136/$E$82</f>
        <v>0</v>
      </c>
      <c r="R138" s="301"/>
      <c r="S138" s="302">
        <f>S136/$E$82</f>
        <v>0</v>
      </c>
      <c r="T138" s="214"/>
      <c r="BY138" s="443" t="s">
        <v>309</v>
      </c>
      <c r="BZ138" s="444">
        <f t="shared" si="23"/>
        <v>898.07899999999995</v>
      </c>
      <c r="CA138" s="444">
        <f t="shared" si="23"/>
        <v>7.1999999999999995E-2</v>
      </c>
      <c r="CB138" s="444">
        <f t="shared" si="23"/>
        <v>6.5000000000000002E-2</v>
      </c>
      <c r="CC138" s="445">
        <f t="shared" si="22"/>
        <v>5337.7693505533907</v>
      </c>
    </row>
    <row r="139" spans="3:81" ht="15" customHeight="1" x14ac:dyDescent="0.25">
      <c r="M139" s="214"/>
      <c r="N139" s="214"/>
      <c r="O139" s="214"/>
      <c r="P139" s="214"/>
      <c r="Q139" s="214"/>
      <c r="R139" s="214"/>
      <c r="S139" s="214"/>
      <c r="T139" s="214"/>
      <c r="BY139" s="443" t="s">
        <v>443</v>
      </c>
      <c r="BZ139" s="444">
        <f t="shared" si="23"/>
        <v>593.41899999999998</v>
      </c>
      <c r="CA139" s="444">
        <f t="shared" si="23"/>
        <v>6.4000000000000001E-2</v>
      </c>
      <c r="CB139" s="444">
        <f t="shared" si="23"/>
        <v>6.7000000000000004E-2</v>
      </c>
      <c r="CC139" s="445">
        <f t="shared" si="22"/>
        <v>4383.4268359858934</v>
      </c>
    </row>
    <row r="140" spans="3:81" ht="15" customHeight="1" x14ac:dyDescent="0.25">
      <c r="M140" s="214"/>
      <c r="N140" s="214"/>
      <c r="O140" s="214"/>
      <c r="P140" s="214"/>
      <c r="Q140" s="214"/>
      <c r="R140" s="214"/>
      <c r="S140" s="214"/>
      <c r="T140" s="214"/>
      <c r="BY140" s="270" t="s">
        <v>881</v>
      </c>
      <c r="BZ140" s="118">
        <f t="shared" si="23"/>
        <v>809.82399999999996</v>
      </c>
      <c r="CA140" s="118">
        <f t="shared" si="23"/>
        <v>1.0309999999999999</v>
      </c>
      <c r="CB140" s="118">
        <f t="shared" si="23"/>
        <v>1.107</v>
      </c>
      <c r="CC140" s="119">
        <f t="shared" si="22"/>
        <v>5979.1122615702616</v>
      </c>
    </row>
    <row r="141" spans="3:81" ht="15" customHeight="1" x14ac:dyDescent="0.25">
      <c r="C141" s="25"/>
      <c r="M141" s="214"/>
      <c r="N141" s="214"/>
      <c r="O141" s="214"/>
      <c r="P141" s="214"/>
      <c r="Q141" s="214"/>
      <c r="R141" s="214"/>
      <c r="S141" s="214"/>
      <c r="T141" s="214"/>
      <c r="BY141" s="270" t="s">
        <v>885</v>
      </c>
      <c r="BZ141" s="118">
        <f t="shared" si="23"/>
        <v>1385.1310000000001</v>
      </c>
      <c r="CA141" s="118">
        <f t="shared" si="23"/>
        <v>0.55800000000000005</v>
      </c>
      <c r="CB141" s="118">
        <f t="shared" si="23"/>
        <v>0.54500000000000004</v>
      </c>
      <c r="CC141" s="119">
        <f t="shared" si="22"/>
        <v>8868.812105709927</v>
      </c>
    </row>
    <row r="142" spans="3:81" ht="15" customHeight="1" x14ac:dyDescent="0.25">
      <c r="C142" s="25"/>
      <c r="M142" s="214"/>
      <c r="N142" s="214"/>
      <c r="O142" s="214"/>
      <c r="P142" s="214"/>
      <c r="Q142" s="214"/>
      <c r="R142" s="214"/>
      <c r="S142" s="214"/>
      <c r="T142" s="214"/>
      <c r="BY142" s="270" t="s">
        <v>892</v>
      </c>
      <c r="BZ142" s="118">
        <f t="shared" si="23"/>
        <v>856.88800000000003</v>
      </c>
      <c r="CA142" s="118">
        <f t="shared" si="23"/>
        <v>0.126</v>
      </c>
      <c r="CB142" s="118">
        <f t="shared" si="23"/>
        <v>0.124</v>
      </c>
      <c r="CC142" s="119">
        <f t="shared" si="22"/>
        <v>5038.6487144802004</v>
      </c>
    </row>
    <row r="143" spans="3:81" ht="15" customHeight="1" x14ac:dyDescent="0.25">
      <c r="C143" s="353"/>
      <c r="BY143" s="270" t="s">
        <v>895</v>
      </c>
      <c r="BZ143" s="118">
        <f t="shared" si="23"/>
        <v>498.89600000000002</v>
      </c>
      <c r="CA143" s="118">
        <f t="shared" si="23"/>
        <v>5.1999999999999998E-2</v>
      </c>
      <c r="CB143" s="118">
        <f t="shared" si="23"/>
        <v>0.05</v>
      </c>
      <c r="CC143" s="119">
        <f t="shared" si="22"/>
        <v>4428.3793658904206</v>
      </c>
    </row>
    <row r="144" spans="3:81" ht="15" customHeight="1" x14ac:dyDescent="0.25">
      <c r="C144" s="25"/>
      <c r="BY144" s="270" t="s">
        <v>899</v>
      </c>
      <c r="BZ144" s="118">
        <f t="shared" si="23"/>
        <v>825.21799999999996</v>
      </c>
      <c r="CA144" s="118">
        <f t="shared" si="23"/>
        <v>6.7000000000000004E-2</v>
      </c>
      <c r="CB144" s="118">
        <f t="shared" si="23"/>
        <v>5.7000000000000002E-2</v>
      </c>
      <c r="CC144" s="119">
        <f t="shared" si="22"/>
        <v>5506.8829294970392</v>
      </c>
    </row>
    <row r="145" spans="77:81" ht="15" customHeight="1" x14ac:dyDescent="0.25">
      <c r="BY145" s="270" t="s">
        <v>902</v>
      </c>
      <c r="BZ145" s="118">
        <f t="shared" si="23"/>
        <v>801.28899999999999</v>
      </c>
      <c r="CA145" s="118">
        <f t="shared" si="23"/>
        <v>6.7000000000000004E-2</v>
      </c>
      <c r="CB145" s="118">
        <f t="shared" si="23"/>
        <v>6.2E-2</v>
      </c>
      <c r="CC145" s="119">
        <f t="shared" si="22"/>
        <v>5610.572615267989</v>
      </c>
    </row>
    <row r="146" spans="77:81" ht="15" customHeight="1" x14ac:dyDescent="0.25">
      <c r="BY146" s="270" t="s">
        <v>905</v>
      </c>
      <c r="BZ146" s="118">
        <f t="shared" ref="BZ146:CB147" si="25">AF93</f>
        <v>733.90200000000004</v>
      </c>
      <c r="CA146" s="118">
        <f t="shared" si="25"/>
        <v>8.6999999999999994E-2</v>
      </c>
      <c r="CB146" s="118">
        <f t="shared" si="25"/>
        <v>8.5999999999999993E-2</v>
      </c>
      <c r="CC146" s="119">
        <f t="shared" si="22"/>
        <v>5105.9902522997809</v>
      </c>
    </row>
    <row r="147" spans="77:81" ht="15" customHeight="1" x14ac:dyDescent="0.25">
      <c r="BY147" s="270" t="s">
        <v>908</v>
      </c>
      <c r="BZ147" s="118">
        <f t="shared" si="25"/>
        <v>655.27599999999995</v>
      </c>
      <c r="CA147" s="118">
        <f t="shared" si="25"/>
        <v>0.10299999999999999</v>
      </c>
      <c r="CB147" s="118">
        <f t="shared" si="25"/>
        <v>0.1</v>
      </c>
      <c r="CC147" s="119">
        <f t="shared" si="22"/>
        <v>4453.3997675900155</v>
      </c>
    </row>
    <row r="148" spans="77:81" ht="15" customHeight="1" x14ac:dyDescent="0.25">
      <c r="BY148" s="185"/>
      <c r="BZ148" s="186"/>
      <c r="CA148" s="186"/>
      <c r="CB148" s="186"/>
      <c r="CC148" s="187"/>
    </row>
    <row r="149" spans="77:81" ht="15" customHeight="1" x14ac:dyDescent="0.25">
      <c r="BY149" s="117"/>
      <c r="BZ149" s="118"/>
      <c r="CA149" s="118"/>
      <c r="CB149" s="118"/>
      <c r="CC149" s="119"/>
    </row>
    <row r="150" spans="77:81" ht="15" customHeight="1" x14ac:dyDescent="0.25">
      <c r="BY150" s="270" t="s">
        <v>1108</v>
      </c>
      <c r="BZ150" s="118">
        <f>AM61</f>
        <v>1074.068</v>
      </c>
      <c r="CA150" s="118">
        <f>AL61</f>
        <v>0.36699999999999999</v>
      </c>
      <c r="CB150" s="118">
        <f>AK61</f>
        <v>6.6310000000000002</v>
      </c>
      <c r="CC150" s="119">
        <f>BA61</f>
        <v>8073.6353581267495</v>
      </c>
    </row>
    <row r="151" spans="77:81" ht="15" customHeight="1" x14ac:dyDescent="0.25">
      <c r="BY151" s="270" t="s">
        <v>1109</v>
      </c>
      <c r="BZ151" s="118">
        <f t="shared" ref="BZ151:BZ183" si="26">AM62</f>
        <v>1656.6659999999999</v>
      </c>
      <c r="CA151" s="118">
        <f t="shared" ref="CA151:CA183" si="27">AL62</f>
        <v>2.2549999999999999</v>
      </c>
      <c r="CB151" s="118">
        <f t="shared" ref="CB151:CB183" si="28">AK62</f>
        <v>25.853999999999999</v>
      </c>
      <c r="CC151" s="119">
        <f t="shared" ref="CC151:CC183" si="29">BA62</f>
        <v>11105.249600671403</v>
      </c>
    </row>
    <row r="152" spans="77:81" ht="15" customHeight="1" x14ac:dyDescent="0.25">
      <c r="BY152" s="270" t="s">
        <v>1110</v>
      </c>
      <c r="BZ152" s="118">
        <f t="shared" si="26"/>
        <v>1173.527</v>
      </c>
      <c r="CA152" s="118">
        <f t="shared" si="27"/>
        <v>0.16900000000000001</v>
      </c>
      <c r="CB152" s="118">
        <f t="shared" si="28"/>
        <v>0.58699999999999997</v>
      </c>
      <c r="CC152" s="119">
        <f t="shared" si="29"/>
        <v>8438.2817128615843</v>
      </c>
    </row>
    <row r="153" spans="77:81" ht="15" customHeight="1" x14ac:dyDescent="0.25">
      <c r="BY153" s="270" t="s">
        <v>1111</v>
      </c>
      <c r="BZ153" s="118">
        <f t="shared" si="26"/>
        <v>931.57600000000002</v>
      </c>
      <c r="CA153" s="118">
        <f t="shared" si="27"/>
        <v>2.4E-2</v>
      </c>
      <c r="CB153" s="118">
        <f t="shared" si="28"/>
        <v>0.60299999999999998</v>
      </c>
      <c r="CC153" s="119">
        <f t="shared" si="29"/>
        <v>8101.8128552197359</v>
      </c>
    </row>
    <row r="154" spans="77:81" ht="15" customHeight="1" x14ac:dyDescent="0.25">
      <c r="BY154" s="270" t="s">
        <v>1112</v>
      </c>
      <c r="BZ154" s="118">
        <f t="shared" si="26"/>
        <v>1176.912</v>
      </c>
      <c r="CA154" s="118">
        <f t="shared" si="27"/>
        <v>0.51200000000000001</v>
      </c>
      <c r="CB154" s="118">
        <f t="shared" si="28"/>
        <v>0.71299999999999997</v>
      </c>
      <c r="CC154" s="119">
        <f t="shared" si="29"/>
        <v>8159.3545153329042</v>
      </c>
    </row>
    <row r="155" spans="77:81" ht="15" customHeight="1" x14ac:dyDescent="0.25">
      <c r="BY155" s="270" t="s">
        <v>1113</v>
      </c>
      <c r="BZ155" s="118">
        <f t="shared" si="26"/>
        <v>945.99900000000002</v>
      </c>
      <c r="CA155" s="118">
        <f t="shared" si="27"/>
        <v>0.11</v>
      </c>
      <c r="CB155" s="118">
        <f t="shared" si="28"/>
        <v>0.215</v>
      </c>
      <c r="CC155" s="119">
        <f t="shared" si="29"/>
        <v>7698.4907797508786</v>
      </c>
    </row>
    <row r="156" spans="77:81" ht="15" customHeight="1" x14ac:dyDescent="0.25">
      <c r="BY156" s="270" t="s">
        <v>1114</v>
      </c>
      <c r="BZ156" s="118">
        <f t="shared" si="26"/>
        <v>1617.308</v>
      </c>
      <c r="CA156" s="118">
        <f t="shared" si="27"/>
        <v>6.4909999999999997</v>
      </c>
      <c r="CB156" s="118">
        <f t="shared" si="28"/>
        <v>10.903</v>
      </c>
      <c r="CC156" s="119">
        <f t="shared" si="29"/>
        <v>11186.819236050076</v>
      </c>
    </row>
    <row r="157" spans="77:81" ht="15" customHeight="1" x14ac:dyDescent="0.25">
      <c r="BY157" s="270" t="s">
        <v>1115</v>
      </c>
      <c r="BZ157" s="118">
        <f t="shared" si="26"/>
        <v>1661.123</v>
      </c>
      <c r="CA157" s="118">
        <f t="shared" si="27"/>
        <v>4.9710000000000001</v>
      </c>
      <c r="CB157" s="118">
        <f t="shared" si="28"/>
        <v>4.3890000000000002</v>
      </c>
      <c r="CC157" s="119">
        <f t="shared" si="29"/>
        <v>11034.700623612154</v>
      </c>
    </row>
    <row r="158" spans="77:81" ht="15" customHeight="1" x14ac:dyDescent="0.25">
      <c r="BY158" s="270" t="s">
        <v>1116</v>
      </c>
      <c r="BZ158" s="118">
        <f t="shared" si="26"/>
        <v>1664.682</v>
      </c>
      <c r="CA158" s="118">
        <f t="shared" si="27"/>
        <v>0.27800000000000002</v>
      </c>
      <c r="CB158" s="118">
        <f t="shared" si="28"/>
        <v>1.139</v>
      </c>
      <c r="CC158" s="119">
        <f t="shared" si="29"/>
        <v>10648.903871981567</v>
      </c>
    </row>
    <row r="159" spans="77:81" ht="15" customHeight="1" x14ac:dyDescent="0.25">
      <c r="BY159" s="270" t="s">
        <v>1117</v>
      </c>
      <c r="BZ159" s="118">
        <f t="shared" si="26"/>
        <v>1891.086</v>
      </c>
      <c r="CA159" s="118">
        <f t="shared" si="27"/>
        <v>1.8220000000000001</v>
      </c>
      <c r="CB159" s="118">
        <f t="shared" si="28"/>
        <v>1.411</v>
      </c>
      <c r="CC159" s="119">
        <f t="shared" si="29"/>
        <v>10050.252089875123</v>
      </c>
    </row>
    <row r="160" spans="77:81" ht="15" customHeight="1" x14ac:dyDescent="0.25">
      <c r="BY160" s="270" t="s">
        <v>1118</v>
      </c>
      <c r="BZ160" s="118">
        <f t="shared" si="26"/>
        <v>852.01099999999997</v>
      </c>
      <c r="CA160" s="118">
        <f t="shared" si="27"/>
        <v>2.5999999999999999E-2</v>
      </c>
      <c r="CB160" s="118">
        <f t="shared" si="28"/>
        <v>0.22700000000000001</v>
      </c>
      <c r="CC160" s="119">
        <f t="shared" si="29"/>
        <v>8421.3893169146741</v>
      </c>
    </row>
    <row r="161" spans="5:81" ht="15" customHeight="1" x14ac:dyDescent="0.25">
      <c r="BY161" s="270" t="s">
        <v>1119</v>
      </c>
      <c r="BZ161" s="118">
        <f t="shared" si="26"/>
        <v>1515.2719999999999</v>
      </c>
      <c r="CA161" s="118">
        <f t="shared" si="27"/>
        <v>0.61099999999999999</v>
      </c>
      <c r="CB161" s="118">
        <f t="shared" si="28"/>
        <v>1.3089999999999999</v>
      </c>
      <c r="CC161" s="119">
        <f t="shared" si="29"/>
        <v>9542.1634291893788</v>
      </c>
    </row>
    <row r="162" spans="5:81" ht="15" customHeight="1" x14ac:dyDescent="0.25">
      <c r="BY162" s="270" t="s">
        <v>1120</v>
      </c>
      <c r="BZ162" s="118">
        <f t="shared" si="26"/>
        <v>862.98</v>
      </c>
      <c r="CA162" s="118">
        <f t="shared" si="27"/>
        <v>6.0000000000000001E-3</v>
      </c>
      <c r="CB162" s="118">
        <f t="shared" si="28"/>
        <v>0.20399999999999999</v>
      </c>
      <c r="CC162" s="119">
        <f t="shared" si="29"/>
        <v>7331.8480438616944</v>
      </c>
    </row>
    <row r="163" spans="5:81" ht="15" customHeight="1" x14ac:dyDescent="0.25">
      <c r="BY163" s="270" t="s">
        <v>1121</v>
      </c>
      <c r="BZ163" s="118">
        <f t="shared" si="26"/>
        <v>1117.979</v>
      </c>
      <c r="CA163" s="118">
        <f t="shared" si="27"/>
        <v>4.3999999999999997E-2</v>
      </c>
      <c r="CB163" s="118">
        <f t="shared" si="28"/>
        <v>0.54200000000000004</v>
      </c>
      <c r="CC163" s="119">
        <f t="shared" si="29"/>
        <v>10683.012352238007</v>
      </c>
    </row>
    <row r="164" spans="5:81" ht="15" customHeight="1" x14ac:dyDescent="0.25">
      <c r="BY164" s="270" t="s">
        <v>1122</v>
      </c>
      <c r="BZ164" s="118">
        <f t="shared" si="26"/>
        <v>914.08799999999997</v>
      </c>
      <c r="CA164" s="118">
        <f t="shared" si="27"/>
        <v>4.2999999999999997E-2</v>
      </c>
      <c r="CB164" s="118">
        <f t="shared" si="28"/>
        <v>0.219</v>
      </c>
      <c r="CC164" s="119">
        <f t="shared" si="29"/>
        <v>8516.6017394812898</v>
      </c>
    </row>
    <row r="165" spans="5:81" ht="15" customHeight="1" x14ac:dyDescent="0.25">
      <c r="BY165" s="270" t="s">
        <v>1123</v>
      </c>
      <c r="BZ165" s="118">
        <f t="shared" si="26"/>
        <v>981.029</v>
      </c>
      <c r="CA165" s="118">
        <f t="shared" si="27"/>
        <v>0.29799999999999999</v>
      </c>
      <c r="CB165" s="118">
        <f t="shared" si="28"/>
        <v>0.27</v>
      </c>
      <c r="CC165" s="119">
        <f t="shared" si="29"/>
        <v>7920.3670617086527</v>
      </c>
    </row>
    <row r="166" spans="5:81" ht="15" customHeight="1" x14ac:dyDescent="0.25">
      <c r="BY166" s="270" t="s">
        <v>1124</v>
      </c>
      <c r="BZ166" s="118">
        <f t="shared" si="26"/>
        <v>1230.8489999999999</v>
      </c>
      <c r="CA166" s="118">
        <f t="shared" si="27"/>
        <v>0.70399999999999996</v>
      </c>
      <c r="CB166" s="118">
        <f t="shared" si="28"/>
        <v>0.62</v>
      </c>
      <c r="CC166" s="119">
        <f t="shared" si="29"/>
        <v>8747.6642958183074</v>
      </c>
    </row>
    <row r="167" spans="5:81" ht="15" customHeight="1" x14ac:dyDescent="0.25">
      <c r="BY167" s="270" t="s">
        <v>1125</v>
      </c>
      <c r="BZ167" s="118">
        <f t="shared" si="26"/>
        <v>1426.364</v>
      </c>
      <c r="CA167" s="118">
        <f t="shared" si="27"/>
        <v>0.64900000000000002</v>
      </c>
      <c r="CB167" s="118">
        <f t="shared" si="28"/>
        <v>0.65100000000000002</v>
      </c>
      <c r="CC167" s="119">
        <f t="shared" si="29"/>
        <v>8794.5567686797403</v>
      </c>
    </row>
    <row r="168" spans="5:81" ht="15" customHeight="1" x14ac:dyDescent="0.25">
      <c r="BY168" s="270" t="s">
        <v>1126</v>
      </c>
      <c r="BZ168" s="118">
        <f t="shared" si="26"/>
        <v>1783.758</v>
      </c>
      <c r="CA168" s="118">
        <f t="shared" si="27"/>
        <v>0.56599999999999995</v>
      </c>
      <c r="CB168" s="118">
        <f t="shared" si="28"/>
        <v>0.89700000000000002</v>
      </c>
      <c r="CC168" s="119">
        <f t="shared" si="29"/>
        <v>10256.375599265259</v>
      </c>
    </row>
    <row r="169" spans="5:81" ht="15" customHeight="1" x14ac:dyDescent="0.25">
      <c r="BY169" s="270" t="s">
        <v>1127</v>
      </c>
      <c r="BZ169" s="118">
        <f t="shared" si="26"/>
        <v>1880.77</v>
      </c>
      <c r="CA169" s="118">
        <f t="shared" si="27"/>
        <v>0.29899999999999999</v>
      </c>
      <c r="CB169" s="118">
        <f t="shared" si="28"/>
        <v>1.0069999999999999</v>
      </c>
      <c r="CC169" s="119">
        <f t="shared" si="29"/>
        <v>10355.093157007748</v>
      </c>
    </row>
    <row r="170" spans="5:81" ht="15" customHeight="1" x14ac:dyDescent="0.25">
      <c r="BY170" s="270" t="s">
        <v>1128</v>
      </c>
      <c r="BZ170" s="118">
        <f t="shared" si="26"/>
        <v>1380.0060000000001</v>
      </c>
      <c r="CA170" s="118">
        <f t="shared" si="27"/>
        <v>1.0049999999999999</v>
      </c>
      <c r="CB170" s="118">
        <f t="shared" si="28"/>
        <v>1.0349999999999999</v>
      </c>
      <c r="CC170" s="119">
        <f t="shared" si="29"/>
        <v>9487.876013551655</v>
      </c>
    </row>
    <row r="171" spans="5:81" ht="15" customHeight="1" x14ac:dyDescent="0.25">
      <c r="BY171" s="270" t="s">
        <v>1129</v>
      </c>
      <c r="BZ171" s="118">
        <f t="shared" si="26"/>
        <v>1002.079</v>
      </c>
      <c r="CA171" s="118">
        <f t="shared" si="27"/>
        <v>0.45200000000000001</v>
      </c>
      <c r="CB171" s="118">
        <f t="shared" si="28"/>
        <v>0.64500000000000002</v>
      </c>
      <c r="CC171" s="119">
        <f t="shared" si="29"/>
        <v>7562.5705361169294</v>
      </c>
    </row>
    <row r="172" spans="5:81" ht="15" customHeight="1" x14ac:dyDescent="0.25">
      <c r="BY172" s="270" t="s">
        <v>1130</v>
      </c>
      <c r="BZ172" s="118">
        <f t="shared" si="26"/>
        <v>1811.875</v>
      </c>
      <c r="CA172" s="118">
        <f t="shared" si="27"/>
        <v>2.39</v>
      </c>
      <c r="CB172" s="118">
        <f t="shared" si="28"/>
        <v>1.149</v>
      </c>
      <c r="CC172" s="119">
        <f t="shared" si="29"/>
        <v>9585.6416928604467</v>
      </c>
    </row>
    <row r="173" spans="5:81" ht="15" customHeight="1" x14ac:dyDescent="0.25">
      <c r="BY173" s="270" t="s">
        <v>1131</v>
      </c>
      <c r="BZ173" s="118">
        <f t="shared" si="26"/>
        <v>1203.3889999999999</v>
      </c>
      <c r="CA173" s="118">
        <f t="shared" si="27"/>
        <v>0.121</v>
      </c>
      <c r="CB173" s="118">
        <f t="shared" si="28"/>
        <v>0.438</v>
      </c>
      <c r="CC173" s="119">
        <f t="shared" si="29"/>
        <v>8706.5456840200823</v>
      </c>
    </row>
    <row r="174" spans="5:81" ht="15" customHeight="1" x14ac:dyDescent="0.3">
      <c r="F174" s="303" t="s">
        <v>1132</v>
      </c>
      <c r="G174" s="303"/>
      <c r="H174" s="303"/>
      <c r="BY174" s="270" t="s">
        <v>1133</v>
      </c>
      <c r="BZ174" s="118">
        <f t="shared" si="26"/>
        <v>1558.384</v>
      </c>
      <c r="CA174" s="118">
        <f t="shared" si="27"/>
        <v>0.71699999999999997</v>
      </c>
      <c r="CB174" s="118">
        <f t="shared" si="28"/>
        <v>0.64500000000000002</v>
      </c>
      <c r="CC174" s="119">
        <f t="shared" si="29"/>
        <v>9191.9499184891447</v>
      </c>
    </row>
    <row r="175" spans="5:81" ht="15" customHeight="1" x14ac:dyDescent="0.25">
      <c r="E175"/>
      <c r="BY175" s="270" t="s">
        <v>1134</v>
      </c>
      <c r="BZ175" s="118">
        <f t="shared" si="26"/>
        <v>1177.4090000000001</v>
      </c>
      <c r="CA175" s="118">
        <f t="shared" si="27"/>
        <v>0.24299999999999999</v>
      </c>
      <c r="CB175" s="118">
        <f t="shared" si="28"/>
        <v>0.51</v>
      </c>
      <c r="CC175" s="119">
        <f t="shared" si="29"/>
        <v>8761.2279661896464</v>
      </c>
    </row>
    <row r="176" spans="5:81" ht="15" customHeight="1" x14ac:dyDescent="0.25">
      <c r="E176"/>
      <c r="BY176" s="270" t="s">
        <v>1135</v>
      </c>
      <c r="BZ176" s="118">
        <f t="shared" si="26"/>
        <v>1134.6969999999999</v>
      </c>
      <c r="CA176" s="118">
        <f t="shared" si="27"/>
        <v>0.56299999999999994</v>
      </c>
      <c r="CB176" s="118">
        <f t="shared" si="28"/>
        <v>8.6310000000000002</v>
      </c>
      <c r="CC176" s="119">
        <f t="shared" si="29"/>
        <v>8386.5182655642075</v>
      </c>
    </row>
    <row r="177" spans="77:81" ht="15" customHeight="1" x14ac:dyDescent="0.25">
      <c r="BY177" s="270" t="s">
        <v>1136</v>
      </c>
      <c r="BZ177" s="118">
        <f t="shared" si="26"/>
        <v>1650.194</v>
      </c>
      <c r="CA177" s="118">
        <f t="shared" si="27"/>
        <v>5.35</v>
      </c>
      <c r="CB177" s="118">
        <f t="shared" si="28"/>
        <v>6.0140000000000002</v>
      </c>
      <c r="CC177" s="119">
        <f t="shared" si="29"/>
        <v>11070.39638190699</v>
      </c>
    </row>
    <row r="178" spans="77:81" ht="15" customHeight="1" x14ac:dyDescent="0.25">
      <c r="BY178" s="270" t="s">
        <v>1137</v>
      </c>
      <c r="BZ178" s="118">
        <f t="shared" si="26"/>
        <v>1676.509</v>
      </c>
      <c r="CA178" s="118">
        <f t="shared" si="27"/>
        <v>1.2390000000000001</v>
      </c>
      <c r="CB178" s="118">
        <f t="shared" si="28"/>
        <v>1.206</v>
      </c>
      <c r="CC178" s="119">
        <f t="shared" si="29"/>
        <v>9872.4613553083655</v>
      </c>
    </row>
    <row r="179" spans="77:81" ht="15" customHeight="1" x14ac:dyDescent="0.25">
      <c r="BY179" s="270" t="s">
        <v>1138</v>
      </c>
      <c r="BZ179" s="118">
        <f t="shared" si="26"/>
        <v>893.50699999999995</v>
      </c>
      <c r="CA179" s="118">
        <f t="shared" si="27"/>
        <v>2.5999999999999999E-2</v>
      </c>
      <c r="CB179" s="118">
        <f t="shared" si="28"/>
        <v>0.25</v>
      </c>
      <c r="CC179" s="119">
        <f t="shared" si="29"/>
        <v>8421.2198415447074</v>
      </c>
    </row>
    <row r="180" spans="77:81" ht="15" customHeight="1" x14ac:dyDescent="0.25">
      <c r="BY180" s="270" t="s">
        <v>1139</v>
      </c>
      <c r="BZ180" s="118">
        <f t="shared" si="26"/>
        <v>1269.8219999999999</v>
      </c>
      <c r="CA180" s="118">
        <f t="shared" si="27"/>
        <v>0.55000000000000004</v>
      </c>
      <c r="CB180" s="118">
        <f t="shared" si="28"/>
        <v>0.53800000000000003</v>
      </c>
      <c r="CC180" s="119">
        <f t="shared" si="29"/>
        <v>8517.1779447277586</v>
      </c>
    </row>
    <row r="181" spans="77:81" ht="15" customHeight="1" x14ac:dyDescent="0.25">
      <c r="BY181" s="270" t="s">
        <v>1140</v>
      </c>
      <c r="BZ181" s="118">
        <f t="shared" si="26"/>
        <v>1207.9570000000001</v>
      </c>
      <c r="CA181" s="118">
        <f t="shared" si="27"/>
        <v>0.47099999999999997</v>
      </c>
      <c r="CB181" s="118">
        <f t="shared" si="28"/>
        <v>0.52700000000000002</v>
      </c>
      <c r="CC181" s="119">
        <f t="shared" si="29"/>
        <v>8453.2532088975549</v>
      </c>
    </row>
    <row r="182" spans="77:81" ht="15" customHeight="1" x14ac:dyDescent="0.25">
      <c r="BY182" s="270" t="s">
        <v>1141</v>
      </c>
      <c r="BZ182" s="118">
        <f t="shared" si="26"/>
        <v>1181.2059999999999</v>
      </c>
      <c r="CA182" s="118">
        <f t="shared" si="27"/>
        <v>0.51900000000000002</v>
      </c>
      <c r="CB182" s="118">
        <f t="shared" si="28"/>
        <v>0.71899999999999997</v>
      </c>
      <c r="CC182" s="119">
        <f t="shared" si="29"/>
        <v>8170.3712689349022</v>
      </c>
    </row>
    <row r="183" spans="77:81" ht="15" customHeight="1" x14ac:dyDescent="0.25">
      <c r="BY183" s="270" t="s">
        <v>1142</v>
      </c>
      <c r="BZ183" s="118">
        <f t="shared" si="26"/>
        <v>1323.4690000000001</v>
      </c>
      <c r="CA183" s="118">
        <f t="shared" si="27"/>
        <v>0.34599999999999997</v>
      </c>
      <c r="CB183" s="118">
        <f t="shared" si="28"/>
        <v>0.86899999999999999</v>
      </c>
      <c r="CC183" s="119">
        <f t="shared" si="29"/>
        <v>8985.5994987262893</v>
      </c>
    </row>
    <row r="184" spans="77:81" ht="15" customHeight="1" x14ac:dyDescent="0.25">
      <c r="BY184" s="270"/>
      <c r="BZ184" s="118"/>
      <c r="CA184" s="118"/>
      <c r="CB184" s="118"/>
      <c r="CC184" s="119"/>
    </row>
    <row r="185" spans="77:81" ht="15" customHeight="1" x14ac:dyDescent="0.25">
      <c r="BY185" s="117"/>
      <c r="BZ185" s="118"/>
      <c r="CA185" s="118"/>
      <c r="CB185" s="118"/>
      <c r="CC185" s="119"/>
    </row>
    <row r="186" spans="77:81" ht="15" customHeight="1" x14ac:dyDescent="0.25">
      <c r="BY186" s="185"/>
      <c r="BZ186" s="186"/>
      <c r="CA186" s="186"/>
      <c r="CB186" s="186"/>
      <c r="CC186" s="187"/>
    </row>
    <row r="187" spans="77:81" ht="15" customHeight="1" x14ac:dyDescent="0.25">
      <c r="BY187" s="448" t="s">
        <v>876</v>
      </c>
      <c r="BZ187" s="449">
        <f>BT9</f>
        <v>220.46244201837774</v>
      </c>
      <c r="CA187" s="449">
        <f>BV9</f>
        <v>1.1415078610552385</v>
      </c>
      <c r="CB187" s="449">
        <f>BU9</f>
        <v>0.71691578453630334</v>
      </c>
      <c r="CC187" s="450">
        <f>BW9</f>
        <v>3634</v>
      </c>
    </row>
    <row r="188" spans="77:81" ht="15" customHeight="1" x14ac:dyDescent="0.25">
      <c r="BY188" s="443" t="s">
        <v>200</v>
      </c>
      <c r="BZ188" s="451">
        <v>1410.56</v>
      </c>
      <c r="CA188" s="444">
        <f>BV10</f>
        <v>3.9072900352729905</v>
      </c>
      <c r="CB188" s="444">
        <f>BU10</f>
        <v>2.8677163722195678</v>
      </c>
      <c r="CC188" s="452">
        <v>12388</v>
      </c>
    </row>
    <row r="189" spans="77:81" ht="15" customHeight="1" x14ac:dyDescent="0.25">
      <c r="BY189" s="443" t="s">
        <v>202</v>
      </c>
      <c r="BZ189" s="444">
        <f>BT11</f>
        <v>30.864741882572886</v>
      </c>
      <c r="CA189" s="444">
        <f>BV11</f>
        <v>5.4314629705916077E-3</v>
      </c>
      <c r="CB189" s="444">
        <f>BU11</f>
        <v>8.1796389488258042E-2</v>
      </c>
      <c r="CC189" s="445">
        <f>BW11</f>
        <v>437</v>
      </c>
    </row>
    <row r="190" spans="77:81" ht="15" customHeight="1" x14ac:dyDescent="0.25">
      <c r="BY190" s="443" t="s">
        <v>204</v>
      </c>
      <c r="BZ190" s="444">
        <f>BT12</f>
        <v>2.866011746238911</v>
      </c>
      <c r="CA190" s="444">
        <f>BV12</f>
        <v>4.1752211078894916E-2</v>
      </c>
      <c r="CB190" s="444">
        <f>BU12</f>
        <v>2.7766635200966863E-2</v>
      </c>
      <c r="CC190" s="445">
        <f>BW12</f>
        <v>300</v>
      </c>
    </row>
    <row r="191" spans="77:81" ht="15" customHeight="1" x14ac:dyDescent="0.25">
      <c r="BY191" s="443" t="s">
        <v>206</v>
      </c>
      <c r="BZ191" s="451">
        <v>1237</v>
      </c>
      <c r="CA191" s="444">
        <f>BV13</f>
        <v>0.95781963183094909</v>
      </c>
      <c r="CB191" s="444">
        <f>BU13</f>
        <v>1.3788610465998909</v>
      </c>
      <c r="CC191" s="452">
        <v>7582</v>
      </c>
    </row>
    <row r="192" spans="77:81" ht="15" customHeight="1" x14ac:dyDescent="0.25">
      <c r="BY192" s="443"/>
      <c r="BZ192" s="444"/>
      <c r="CA192" s="444"/>
      <c r="CB192" s="444"/>
      <c r="CC192" s="445"/>
    </row>
    <row r="193" spans="77:81" ht="15" customHeight="1" x14ac:dyDescent="0.25">
      <c r="BY193" s="443" t="s">
        <v>208</v>
      </c>
      <c r="BZ193" s="444">
        <f>BT14</f>
        <v>37.478615143124216</v>
      </c>
      <c r="CA193" s="444">
        <f t="shared" ref="CA193:CA198" si="30">BV14</f>
        <v>0.16350828464116218</v>
      </c>
      <c r="CB193" s="444">
        <f t="shared" ref="CB193:CB198" si="31">BU14</f>
        <v>0.17452509934638943</v>
      </c>
      <c r="CC193" s="445">
        <f>BW14</f>
        <v>365</v>
      </c>
    </row>
    <row r="194" spans="77:81" ht="15" customHeight="1" x14ac:dyDescent="0.25">
      <c r="BY194" s="443" t="s">
        <v>210</v>
      </c>
      <c r="BZ194" s="451">
        <v>1582.9</v>
      </c>
      <c r="CA194" s="444">
        <f t="shared" si="30"/>
        <v>12.577127550484972</v>
      </c>
      <c r="CB194" s="444">
        <f t="shared" si="31"/>
        <v>3.5648859805102604</v>
      </c>
      <c r="CC194" s="452">
        <v>7980</v>
      </c>
    </row>
    <row r="195" spans="77:81" ht="15" customHeight="1" x14ac:dyDescent="0.25">
      <c r="BY195" s="443" t="s">
        <v>212</v>
      </c>
      <c r="BZ195" s="451">
        <v>876</v>
      </c>
      <c r="CA195" s="444">
        <f t="shared" si="30"/>
        <v>0.17477172909733199</v>
      </c>
      <c r="CB195" s="444">
        <f t="shared" si="31"/>
        <v>0.27722551473506435</v>
      </c>
      <c r="CC195" s="452">
        <v>7582</v>
      </c>
    </row>
    <row r="196" spans="77:81" ht="15" customHeight="1" x14ac:dyDescent="0.25">
      <c r="BY196" s="443" t="s">
        <v>214</v>
      </c>
      <c r="BZ196" s="444">
        <f>BT17</f>
        <v>4.4092488403675549</v>
      </c>
      <c r="CA196" s="444">
        <f t="shared" si="30"/>
        <v>0.29408376138211373</v>
      </c>
      <c r="CB196" s="444">
        <f t="shared" si="31"/>
        <v>0.12027277524390242</v>
      </c>
      <c r="CC196" s="445">
        <f>BW17</f>
        <v>7864</v>
      </c>
    </row>
    <row r="197" spans="77:81" ht="15" customHeight="1" x14ac:dyDescent="0.25">
      <c r="BY197" s="443" t="s">
        <v>216</v>
      </c>
      <c r="BZ197" s="444">
        <f>BT18</f>
        <v>2.6455493042205331</v>
      </c>
      <c r="CA197" s="444">
        <f t="shared" si="30"/>
        <v>2.0214579782354802E-2</v>
      </c>
      <c r="CB197" s="444">
        <f t="shared" si="31"/>
        <v>0.1030691903875308</v>
      </c>
      <c r="CC197" s="445">
        <f>BW18</f>
        <v>101</v>
      </c>
    </row>
    <row r="198" spans="77:81" ht="15" customHeight="1" x14ac:dyDescent="0.25">
      <c r="BY198" s="453" t="s">
        <v>218</v>
      </c>
      <c r="BZ198" s="446">
        <f>BT19</f>
        <v>1388.9133847157798</v>
      </c>
      <c r="CA198" s="446">
        <f t="shared" si="30"/>
        <v>9.7426139480127194</v>
      </c>
      <c r="CB198" s="446">
        <f t="shared" si="31"/>
        <v>3.9008768784703931</v>
      </c>
      <c r="CC198" s="447">
        <f>BW19</f>
        <v>5711</v>
      </c>
    </row>
    <row r="199" spans="77:81" ht="15" customHeight="1" x14ac:dyDescent="0.25"/>
    <row r="200" spans="77:81" ht="15" customHeight="1" x14ac:dyDescent="0.35">
      <c r="BY200" s="304"/>
      <c r="BZ200" s="305" t="s">
        <v>852</v>
      </c>
      <c r="CA200" s="305" t="s">
        <v>853</v>
      </c>
      <c r="CB200" s="305" t="s">
        <v>854</v>
      </c>
      <c r="CC200" s="306" t="s">
        <v>855</v>
      </c>
    </row>
    <row r="201" spans="77:81" ht="15" customHeight="1" x14ac:dyDescent="0.25">
      <c r="BY201" s="307" t="s">
        <v>1143</v>
      </c>
      <c r="BZ201" s="304"/>
      <c r="CA201" s="304"/>
      <c r="CB201" s="304"/>
      <c r="CC201" s="304"/>
    </row>
    <row r="202" spans="77:81" ht="15" customHeight="1" x14ac:dyDescent="0.25">
      <c r="BY202" s="307" t="s">
        <v>1144</v>
      </c>
      <c r="BZ202" s="308">
        <v>216.1</v>
      </c>
      <c r="CA202" s="308"/>
      <c r="CB202" s="308"/>
      <c r="CC202" s="308">
        <v>2686</v>
      </c>
    </row>
    <row r="203" spans="77:81" ht="15" customHeight="1" x14ac:dyDescent="0.25">
      <c r="BY203" s="307" t="s">
        <v>1145</v>
      </c>
      <c r="BZ203" s="308">
        <v>976.6</v>
      </c>
      <c r="CA203" s="307"/>
      <c r="CB203" s="307"/>
      <c r="CC203" s="308">
        <v>2720</v>
      </c>
    </row>
    <row r="204" spans="77:81" ht="15" customHeight="1" x14ac:dyDescent="0.25">
      <c r="BY204" s="307" t="s">
        <v>210</v>
      </c>
      <c r="BZ204" s="307" t="s">
        <v>1146</v>
      </c>
      <c r="CA204" s="307"/>
      <c r="CB204" s="307"/>
      <c r="CC204" s="308" t="s">
        <v>1147</v>
      </c>
    </row>
    <row r="205" spans="77:81" ht="15" customHeight="1" x14ac:dyDescent="0.25">
      <c r="BY205" s="309" t="s">
        <v>200</v>
      </c>
      <c r="BZ205" s="310">
        <v>1629.2</v>
      </c>
      <c r="CA205" s="304"/>
      <c r="CB205" s="304"/>
      <c r="CC205" s="310">
        <v>10177</v>
      </c>
    </row>
    <row r="206" spans="77:81" ht="15" customHeight="1" x14ac:dyDescent="0.25">
      <c r="BY206" s="307" t="s">
        <v>1148</v>
      </c>
      <c r="BZ206" s="311">
        <f>BT85</f>
        <v>0</v>
      </c>
      <c r="CA206" s="311">
        <f>BV85</f>
        <v>0</v>
      </c>
      <c r="CB206" s="311">
        <f>BU85</f>
        <v>0</v>
      </c>
      <c r="CC206" s="312">
        <f>BW85</f>
        <v>0</v>
      </c>
    </row>
    <row r="207" spans="77:81" ht="15" customHeight="1" x14ac:dyDescent="0.25">
      <c r="BY207" s="307" t="s">
        <v>1149</v>
      </c>
      <c r="BZ207" s="307"/>
      <c r="CA207" s="307"/>
      <c r="CB207" s="307"/>
      <c r="CC207" s="307"/>
    </row>
    <row r="208" spans="77:81" ht="15" customHeight="1" x14ac:dyDescent="0.25">
      <c r="BY208" s="313" t="s">
        <v>1150</v>
      </c>
    </row>
    <row r="209" ht="15" customHeight="1" x14ac:dyDescent="0.25"/>
    <row r="210" ht="15" customHeight="1" x14ac:dyDescent="0.25"/>
    <row r="211" ht="15" customHeight="1" x14ac:dyDescent="0.25"/>
    <row r="212" ht="15" customHeight="1" x14ac:dyDescent="0.25"/>
    <row r="213" ht="15" customHeight="1" x14ac:dyDescent="0.25"/>
    <row r="214" ht="15" customHeight="1" x14ac:dyDescent="0.25"/>
    <row r="215" ht="15" customHeight="1" x14ac:dyDescent="0.25"/>
    <row r="216" ht="15" customHeight="1" x14ac:dyDescent="0.25"/>
    <row r="217" ht="15" customHeight="1" x14ac:dyDescent="0.25"/>
    <row r="218" ht="15" customHeight="1" x14ac:dyDescent="0.25"/>
    <row r="219" ht="15" customHeight="1" x14ac:dyDescent="0.25"/>
    <row r="220" ht="15" customHeight="1" x14ac:dyDescent="0.25"/>
    <row r="221" ht="15" customHeight="1" x14ac:dyDescent="0.25"/>
    <row r="222" ht="15" customHeight="1" x14ac:dyDescent="0.25"/>
    <row r="223" ht="15" customHeight="1" x14ac:dyDescent="0.25"/>
    <row r="224" ht="15" customHeight="1" x14ac:dyDescent="0.25"/>
    <row r="225" ht="15" customHeight="1" x14ac:dyDescent="0.25"/>
    <row r="226" ht="15" customHeight="1" x14ac:dyDescent="0.25"/>
    <row r="227" ht="15" customHeight="1" x14ac:dyDescent="0.25"/>
    <row r="228" ht="15" customHeight="1" x14ac:dyDescent="0.25"/>
    <row r="229" ht="15" customHeight="1" x14ac:dyDescent="0.25"/>
    <row r="230" ht="15" customHeight="1" x14ac:dyDescent="0.25"/>
    <row r="231" ht="15" customHeight="1" x14ac:dyDescent="0.25"/>
    <row r="232" ht="15" customHeight="1" x14ac:dyDescent="0.25"/>
    <row r="233" ht="15" customHeight="1" x14ac:dyDescent="0.25"/>
    <row r="234" ht="15" customHeight="1" x14ac:dyDescent="0.25"/>
    <row r="235" ht="15" customHeight="1" x14ac:dyDescent="0.25"/>
    <row r="236" ht="15" customHeight="1" x14ac:dyDescent="0.25"/>
    <row r="237" ht="15" customHeight="1" x14ac:dyDescent="0.25"/>
    <row r="238" ht="15" customHeight="1" x14ac:dyDescent="0.25"/>
    <row r="239" ht="15" customHeight="1" x14ac:dyDescent="0.25"/>
    <row r="240" ht="15" customHeight="1" x14ac:dyDescent="0.25"/>
    <row r="241" ht="15" customHeight="1" x14ac:dyDescent="0.25"/>
    <row r="242" ht="15" customHeight="1" x14ac:dyDescent="0.25"/>
    <row r="243" ht="15" customHeight="1" x14ac:dyDescent="0.25"/>
    <row r="244" ht="15" customHeight="1" x14ac:dyDescent="0.25"/>
    <row r="245" ht="15" customHeight="1" x14ac:dyDescent="0.25"/>
    <row r="246" ht="15" customHeight="1" x14ac:dyDescent="0.25"/>
    <row r="247" ht="15" customHeight="1" x14ac:dyDescent="0.25"/>
    <row r="248" ht="15" customHeight="1" x14ac:dyDescent="0.25"/>
    <row r="249" ht="15" customHeight="1" x14ac:dyDescent="0.25"/>
    <row r="250" ht="15" customHeight="1" x14ac:dyDescent="0.25"/>
    <row r="251" ht="15" customHeight="1" x14ac:dyDescent="0.25"/>
    <row r="252" ht="15" customHeight="1" x14ac:dyDescent="0.25"/>
    <row r="253" ht="15" customHeight="1" x14ac:dyDescent="0.25"/>
    <row r="254" ht="15" customHeight="1" x14ac:dyDescent="0.25"/>
    <row r="255" ht="15" customHeight="1" x14ac:dyDescent="0.25"/>
    <row r="256" ht="15" customHeight="1" x14ac:dyDescent="0.25"/>
    <row r="257" ht="15" customHeight="1" x14ac:dyDescent="0.25"/>
    <row r="258" ht="15" customHeight="1" x14ac:dyDescent="0.25"/>
    <row r="259" ht="15" customHeight="1" x14ac:dyDescent="0.25"/>
    <row r="260" ht="15" customHeight="1" x14ac:dyDescent="0.25"/>
    <row r="261" ht="15" customHeight="1" x14ac:dyDescent="0.25"/>
    <row r="262" ht="15" customHeight="1" x14ac:dyDescent="0.25"/>
    <row r="263" ht="15" customHeight="1" x14ac:dyDescent="0.25"/>
    <row r="264" ht="15" customHeight="1" x14ac:dyDescent="0.25"/>
    <row r="265" ht="15" customHeight="1" x14ac:dyDescent="0.25"/>
    <row r="266" ht="15" customHeight="1" x14ac:dyDescent="0.25"/>
    <row r="267" ht="15" customHeight="1" x14ac:dyDescent="0.25"/>
    <row r="268" ht="15" customHeight="1" x14ac:dyDescent="0.25"/>
    <row r="269" ht="15" customHeight="1" x14ac:dyDescent="0.25"/>
    <row r="270" ht="15" customHeight="1" x14ac:dyDescent="0.25"/>
    <row r="271" ht="15" customHeight="1" x14ac:dyDescent="0.25"/>
    <row r="272" ht="15" customHeight="1" x14ac:dyDescent="0.25"/>
    <row r="273" ht="15" customHeight="1" x14ac:dyDescent="0.25"/>
    <row r="274" ht="15" customHeight="1" x14ac:dyDescent="0.25"/>
    <row r="275" ht="15" customHeight="1" x14ac:dyDescent="0.25"/>
    <row r="276" ht="15" customHeight="1" x14ac:dyDescent="0.25"/>
    <row r="277" ht="15" customHeight="1" x14ac:dyDescent="0.25"/>
    <row r="278" ht="15" customHeight="1" x14ac:dyDescent="0.25"/>
    <row r="279" ht="15" customHeight="1" x14ac:dyDescent="0.25"/>
    <row r="280" ht="15" customHeight="1" x14ac:dyDescent="0.25"/>
    <row r="281" ht="15" customHeight="1" x14ac:dyDescent="0.25"/>
    <row r="282" ht="15" customHeight="1" x14ac:dyDescent="0.25"/>
    <row r="283" ht="15" customHeight="1" x14ac:dyDescent="0.25"/>
    <row r="284" ht="15" customHeight="1" x14ac:dyDescent="0.25"/>
    <row r="285" ht="15" customHeight="1" x14ac:dyDescent="0.25"/>
    <row r="286" ht="15" customHeight="1" x14ac:dyDescent="0.25"/>
    <row r="287" ht="15" customHeight="1" x14ac:dyDescent="0.25"/>
    <row r="288" ht="15" customHeight="1" x14ac:dyDescent="0.25"/>
    <row r="289" ht="15" customHeight="1" x14ac:dyDescent="0.25"/>
    <row r="290" ht="15" customHeight="1" x14ac:dyDescent="0.25"/>
    <row r="291" ht="15" customHeight="1" x14ac:dyDescent="0.25"/>
    <row r="292" ht="15" customHeight="1" x14ac:dyDescent="0.25"/>
    <row r="293" ht="15" customHeight="1" x14ac:dyDescent="0.25"/>
    <row r="294" ht="15" customHeight="1" x14ac:dyDescent="0.25"/>
    <row r="295" ht="15" customHeight="1" x14ac:dyDescent="0.25"/>
    <row r="296" ht="15" customHeight="1" x14ac:dyDescent="0.25"/>
    <row r="297" ht="15" customHeight="1" x14ac:dyDescent="0.25"/>
    <row r="298" ht="15" customHeight="1" x14ac:dyDescent="0.25"/>
    <row r="299" ht="15" customHeight="1" x14ac:dyDescent="0.25"/>
    <row r="300" ht="15" customHeight="1" x14ac:dyDescent="0.25"/>
    <row r="301" ht="15" customHeight="1" x14ac:dyDescent="0.25"/>
    <row r="302" ht="15" customHeight="1" x14ac:dyDescent="0.25"/>
    <row r="303" ht="15" customHeight="1" x14ac:dyDescent="0.25"/>
    <row r="304" ht="15" customHeight="1" x14ac:dyDescent="0.25"/>
    <row r="305" ht="15" customHeight="1" x14ac:dyDescent="0.25"/>
    <row r="306" ht="15" customHeight="1" x14ac:dyDescent="0.25"/>
    <row r="307" ht="15" customHeight="1" x14ac:dyDescent="0.25"/>
    <row r="308" ht="15" customHeight="1" x14ac:dyDescent="0.25"/>
    <row r="309" ht="15" customHeight="1" x14ac:dyDescent="0.25"/>
    <row r="310" ht="15" customHeight="1" x14ac:dyDescent="0.25"/>
    <row r="311" ht="15" customHeight="1" x14ac:dyDescent="0.25"/>
    <row r="312" ht="15" customHeight="1" x14ac:dyDescent="0.25"/>
    <row r="313" ht="15" customHeight="1" x14ac:dyDescent="0.25"/>
    <row r="314" ht="15" customHeight="1" x14ac:dyDescent="0.25"/>
    <row r="315" ht="15" customHeight="1" x14ac:dyDescent="0.25"/>
    <row r="316" ht="15" customHeight="1" x14ac:dyDescent="0.25"/>
    <row r="317" ht="15" customHeight="1" x14ac:dyDescent="0.25"/>
    <row r="318" ht="15" customHeight="1" x14ac:dyDescent="0.25"/>
    <row r="319" ht="15" customHeight="1" x14ac:dyDescent="0.25"/>
    <row r="320" ht="15" customHeight="1" x14ac:dyDescent="0.25"/>
    <row r="321" ht="15" customHeight="1" x14ac:dyDescent="0.25"/>
    <row r="322" ht="15" customHeight="1" x14ac:dyDescent="0.25"/>
    <row r="323" ht="15" customHeight="1" x14ac:dyDescent="0.25"/>
    <row r="324" ht="15" customHeight="1" x14ac:dyDescent="0.25"/>
    <row r="325" ht="15" customHeight="1" x14ac:dyDescent="0.25"/>
    <row r="326" ht="15" customHeight="1" x14ac:dyDescent="0.25"/>
    <row r="327" ht="15" customHeight="1" x14ac:dyDescent="0.25"/>
    <row r="328" ht="15" customHeight="1" x14ac:dyDescent="0.25"/>
  </sheetData>
  <mergeCells count="60">
    <mergeCell ref="C84:D84"/>
    <mergeCell ref="I84:K84"/>
    <mergeCell ref="M84:T84"/>
    <mergeCell ref="C85:D85"/>
    <mergeCell ref="I85:K85"/>
    <mergeCell ref="M85:S85"/>
    <mergeCell ref="C82:D82"/>
    <mergeCell ref="I82:K82"/>
    <mergeCell ref="M82:T82"/>
    <mergeCell ref="C83:D83"/>
    <mergeCell ref="I83:K83"/>
    <mergeCell ref="M83:T83"/>
    <mergeCell ref="C80:D80"/>
    <mergeCell ref="I80:K80"/>
    <mergeCell ref="M80:S80"/>
    <mergeCell ref="C81:D81"/>
    <mergeCell ref="I81:K81"/>
    <mergeCell ref="M81:T81"/>
    <mergeCell ref="C78:D78"/>
    <mergeCell ref="I78:K78"/>
    <mergeCell ref="M78:S78"/>
    <mergeCell ref="C79:D79"/>
    <mergeCell ref="I79:K79"/>
    <mergeCell ref="M79:S79"/>
    <mergeCell ref="C76:D76"/>
    <mergeCell ref="I76:K76"/>
    <mergeCell ref="M76:S76"/>
    <mergeCell ref="C77:D77"/>
    <mergeCell ref="I77:K77"/>
    <mergeCell ref="M77:S77"/>
    <mergeCell ref="C74:D74"/>
    <mergeCell ref="I74:K74"/>
    <mergeCell ref="M74:S74"/>
    <mergeCell ref="C75:D75"/>
    <mergeCell ref="I75:K75"/>
    <mergeCell ref="M75:S75"/>
    <mergeCell ref="C72:D72"/>
    <mergeCell ref="I72:K72"/>
    <mergeCell ref="M72:S72"/>
    <mergeCell ref="C73:D73"/>
    <mergeCell ref="I73:K73"/>
    <mergeCell ref="M73:S73"/>
    <mergeCell ref="C70:D70"/>
    <mergeCell ref="I70:K70"/>
    <mergeCell ref="M70:S70"/>
    <mergeCell ref="C71:D71"/>
    <mergeCell ref="I71:K71"/>
    <mergeCell ref="M71:S71"/>
    <mergeCell ref="C69:D69"/>
    <mergeCell ref="I69:K69"/>
    <mergeCell ref="M69:S69"/>
    <mergeCell ref="I10:S10"/>
    <mergeCell ref="I27:S27"/>
    <mergeCell ref="E35:E40"/>
    <mergeCell ref="E41:E46"/>
    <mergeCell ref="E47:E52"/>
    <mergeCell ref="E54:E59"/>
    <mergeCell ref="C68:D68"/>
    <mergeCell ref="I68:K68"/>
    <mergeCell ref="M68:S68"/>
  </mergeCells>
  <conditionalFormatting sqref="G13">
    <cfRule type="cellIs" dxfId="7" priority="7" operator="lessThan">
      <formula>0</formula>
    </cfRule>
    <cfRule type="cellIs" dxfId="6" priority="8" operator="greaterThan">
      <formula>1</formula>
    </cfRule>
  </conditionalFormatting>
  <conditionalFormatting sqref="G15">
    <cfRule type="cellIs" dxfId="5" priority="5" operator="lessThan">
      <formula>0</formula>
    </cfRule>
    <cfRule type="cellIs" dxfId="4" priority="6" operator="greaterThan">
      <formula>1</formula>
    </cfRule>
  </conditionalFormatting>
  <conditionalFormatting sqref="G17">
    <cfRule type="cellIs" dxfId="3" priority="3" operator="lessThan">
      <formula>0</formula>
    </cfRule>
    <cfRule type="cellIs" dxfId="2" priority="4" operator="greaterThan">
      <formula>1</formula>
    </cfRule>
  </conditionalFormatting>
  <conditionalFormatting sqref="G19">
    <cfRule type="cellIs" dxfId="1" priority="1" operator="lessThan">
      <formula>0</formula>
    </cfRule>
    <cfRule type="cellIs" dxfId="0" priority="2" operator="greaterThan">
      <formula>1</formula>
    </cfRule>
  </conditionalFormatting>
  <hyperlinks>
    <hyperlink ref="M68" r:id="rId1" xr:uid="{748B6CB8-4597-4D06-BFF4-27DEC99A3973}"/>
    <hyperlink ref="M69" r:id="rId2" xr:uid="{48C08937-B2C5-45EA-A577-CD6FF289303F}"/>
    <hyperlink ref="M70" r:id="rId3" xr:uid="{99365DE2-67AF-4AC2-87E7-B8239AD60938}"/>
    <hyperlink ref="M71" r:id="rId4" xr:uid="{FE2C5DA5-6397-4B46-A75C-2BF1D80D58FE}"/>
    <hyperlink ref="M81" r:id="rId5" xr:uid="{6165B26A-1EE3-414F-BD0B-C69537D5874D}"/>
    <hyperlink ref="M82" r:id="rId6" xr:uid="{EE73A633-E2F8-427B-8200-129567764822}"/>
    <hyperlink ref="M77" r:id="rId7" xr:uid="{59EF6072-72F0-4CE7-A837-2500CD42FD8C}"/>
    <hyperlink ref="M78" r:id="rId8" xr:uid="{2900ED1C-2CB1-481C-B5E2-0F1A000C9A0A}"/>
    <hyperlink ref="M79" r:id="rId9" xr:uid="{8C6D49FA-493F-4E3A-B311-5CDFCFEF9D5C}"/>
    <hyperlink ref="M73" r:id="rId10" xr:uid="{D4A36280-7654-48D1-87F3-E04B6740F65F}"/>
    <hyperlink ref="M74" r:id="rId11" xr:uid="{22BB973D-D5DD-4AD4-B437-5E7A2BC720A2}"/>
    <hyperlink ref="M75" r:id="rId12" xr:uid="{8803DB3C-76A8-4CB0-A25F-D5047DECFF42}"/>
    <hyperlink ref="M72" r:id="rId13" xr:uid="{10591280-E6DD-49BA-A61A-EDF680D66F31}"/>
    <hyperlink ref="M76" r:id="rId14" xr:uid="{3FEFDC70-C9C9-4610-8F9D-805ABCED0D9D}"/>
    <hyperlink ref="M85" r:id="rId15" location="Emission_Summaries" xr:uid="{E4E73CE3-B92D-458D-8CE8-B16377B15C12}"/>
    <hyperlink ref="M80" r:id="rId16" xr:uid="{DAF09494-86F3-4AA9-8C39-7FAEA227A14F}"/>
    <hyperlink ref="BS23" r:id="rId17" location="Emission_Summaries" display="http://www.ec.gc.ca/inrp-npri/default.asp?lang=en&amp;n=0EC58C98- - Emission_Summaries" xr:uid="{14DA1A5F-A842-4620-822B-15A8ACC955DE}"/>
    <hyperlink ref="BJ22" r:id="rId18" location="Emission_Summaries" display="http://www.ec.gc.ca/inrp-npri/default.asp?lang=en&amp;n=0EC58C98- - Emission_Summaries" xr:uid="{518598B8-7765-4CDA-A1FC-40D9B88CE215}"/>
    <hyperlink ref="BC24" r:id="rId19" xr:uid="{AD5EC91A-BC52-40CA-8E97-9763A492A04B}"/>
    <hyperlink ref="M84" r:id="rId20" xr:uid="{5C22B41D-3521-4750-962E-EFA2610DFEDF}"/>
    <hyperlink ref="M83" r:id="rId21" xr:uid="{ADA0ECFE-CF4F-48E2-8D16-61ACDC7B954C}"/>
  </hyperlinks>
  <pageMargins left="0.7" right="0.7" top="0.75" bottom="0.75" header="0.3" footer="0.3"/>
  <legacyDrawing r:id="rId2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72745C-402E-42F1-B045-18062C4CD000}">
  <sheetPr codeName="Sheet5">
    <pageSetUpPr fitToPage="1"/>
  </sheetPr>
  <dimension ref="A1:K3"/>
  <sheetViews>
    <sheetView workbookViewId="0">
      <selection activeCell="F52" sqref="F52"/>
    </sheetView>
  </sheetViews>
  <sheetFormatPr defaultColWidth="9.140625" defaultRowHeight="12.75" x14ac:dyDescent="0.2"/>
  <cols>
    <col min="1" max="1" width="33.42578125" style="3" customWidth="1"/>
    <col min="2" max="2" width="9.7109375" style="3" customWidth="1"/>
    <col min="3" max="3" width="11.28515625" style="3" customWidth="1"/>
    <col min="4" max="4" width="9.42578125" style="3" customWidth="1"/>
    <col min="5" max="6" width="9.7109375" style="3" customWidth="1"/>
    <col min="7" max="7" width="12.7109375" style="3" customWidth="1"/>
    <col min="8" max="8" width="11.7109375" style="3" customWidth="1"/>
    <col min="9" max="9" width="10.7109375" style="3" customWidth="1"/>
    <col min="10" max="10" width="10.5703125" style="3" customWidth="1"/>
    <col min="11" max="12" width="10.28515625" style="3" customWidth="1"/>
    <col min="13" max="16384" width="9.140625" style="3"/>
  </cols>
  <sheetData>
    <row r="1" spans="1:11" x14ac:dyDescent="0.2">
      <c r="A1" s="2" t="s">
        <v>1151</v>
      </c>
      <c r="B1" s="375"/>
      <c r="C1" s="29"/>
      <c r="D1" s="375"/>
      <c r="E1" s="375"/>
      <c r="F1" s="375"/>
      <c r="G1" s="375"/>
      <c r="H1" s="375"/>
      <c r="I1" s="375"/>
      <c r="J1" s="375"/>
      <c r="K1" s="375"/>
    </row>
    <row r="2" spans="1:11" x14ac:dyDescent="0.2">
      <c r="A2" s="317"/>
      <c r="B2" s="422" t="str">
        <f>LOOKUP('User Input'!$S$5,Lists!A21:A83,Lists!C21:C83)</f>
        <v>US</v>
      </c>
      <c r="C2" s="366" t="s">
        <v>1</v>
      </c>
      <c r="D2" s="375"/>
      <c r="E2" s="367" t="s">
        <v>1152</v>
      </c>
      <c r="F2" s="317"/>
      <c r="G2" s="375"/>
      <c r="H2" s="375"/>
      <c r="I2" s="375"/>
      <c r="J2" s="375"/>
      <c r="K2" s="375"/>
    </row>
    <row r="3" spans="1:11" x14ac:dyDescent="0.2">
      <c r="A3" s="317"/>
      <c r="B3" s="423"/>
      <c r="C3" s="375"/>
      <c r="D3" s="375"/>
      <c r="E3" s="375"/>
      <c r="F3" s="375"/>
      <c r="G3" s="375"/>
      <c r="H3" s="375"/>
      <c r="I3" s="375"/>
      <c r="J3" s="375"/>
      <c r="K3" s="375"/>
    </row>
  </sheetData>
  <phoneticPr fontId="0" type="noConversion"/>
  <pageMargins left="0.75" right="0.75" top="1" bottom="1" header="0.5" footer="0.5"/>
  <pageSetup scale="88" orientation="landscape"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8E849D-23C9-440E-9186-D1A248DBAD63}">
  <sheetPr codeName="Sheet11"/>
  <dimension ref="A1:B48"/>
  <sheetViews>
    <sheetView workbookViewId="0">
      <selection activeCell="F52" sqref="F52"/>
    </sheetView>
  </sheetViews>
  <sheetFormatPr defaultRowHeight="12.75" x14ac:dyDescent="0.2"/>
  <sheetData>
    <row r="1" spans="1:1" ht="15" x14ac:dyDescent="0.2">
      <c r="A1" s="479" t="s">
        <v>1153</v>
      </c>
    </row>
    <row r="48" spans="1:2" x14ac:dyDescent="0.2">
      <c r="A48" s="317" t="s">
        <v>1154</v>
      </c>
      <c r="B48" t="s">
        <v>1155</v>
      </c>
    </row>
  </sheetData>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CC61D0F79A20B943AE59D3ECFC4FFBFC" ma:contentTypeVersion="18" ma:contentTypeDescription="Create a new document." ma:contentTypeScope="" ma:versionID="51a9dc9bea848a3f740cd0f4b2b1ab01">
  <xsd:schema xmlns:xsd="http://www.w3.org/2001/XMLSchema" xmlns:xs="http://www.w3.org/2001/XMLSchema" xmlns:p="http://schemas.microsoft.com/office/2006/metadata/properties" xmlns:ns2="6e4dd1ac-fb92-48a9-9c08-e0f8aa2e21c5" xmlns:ns3="d5b246bb-b4f2-488c-be94-ef73d717d87a" xmlns:ns4="fa6a9aea-fb0f-4ddd-aff8-712634b7d5fe" targetNamespace="http://schemas.microsoft.com/office/2006/metadata/properties" ma:root="true" ma:fieldsID="aa91afaced55c40085eb02c073e97c2c" ns2:_="" ns3:_="" ns4:_="">
    <xsd:import namespace="6e4dd1ac-fb92-48a9-9c08-e0f8aa2e21c5"/>
    <xsd:import namespace="d5b246bb-b4f2-488c-be94-ef73d717d87a"/>
    <xsd:import namespace="fa6a9aea-fb0f-4ddd-aff8-712634b7d5fe"/>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Location" minOccurs="0"/>
                <xsd:element ref="ns2:MediaServiceAutoTags" minOccurs="0"/>
                <xsd:element ref="ns3:SharedWithUsers" minOccurs="0"/>
                <xsd:element ref="ns3:SharedWithDetails" minOccurs="0"/>
                <xsd:element ref="ns2:MediaServiceAutoKeyPoints" minOccurs="0"/>
                <xsd:element ref="ns2:MediaServiceKeyPoints" minOccurs="0"/>
                <xsd:element ref="ns2:MediaServiceGenerationTime" minOccurs="0"/>
                <xsd:element ref="ns2:MediaServiceEventHashCode" minOccurs="0"/>
                <xsd:element ref="ns2:MediaServiceOCR" minOccurs="0"/>
                <xsd:element ref="ns2:MediaLengthInSeconds" minOccurs="0"/>
                <xsd:element ref="ns2:lcf76f155ced4ddcb4097134ff3c332f" minOccurs="0"/>
                <xsd:element ref="ns4:TaxCatchAll"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e4dd1ac-fb92-48a9-9c08-e0f8aa2e21c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Location" ma:index="11" nillable="true" ma:displayName="Location" ma:internalName="MediaServiceLocation" ma:readOnly="true">
      <xsd:simpleType>
        <xsd:restriction base="dms:Text"/>
      </xsd:simpleType>
    </xsd:element>
    <xsd:element name="MediaServiceAutoTags" ma:index="12" nillable="true" ma:displayName="Tags" ma:internalName="MediaServiceAutoTags" ma:readOnly="true">
      <xsd:simpleType>
        <xsd:restriction base="dms:Text"/>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LengthInSeconds" ma:index="20" nillable="true" ma:displayName="MediaLengthInSeconds" ma:hidden="true"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6856f2ee-118d-42e8-91de-064c9a66b685"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5b246bb-b4f2-488c-be94-ef73d717d87a" elementFormDefault="qualified">
    <xsd:import namespace="http://schemas.microsoft.com/office/2006/documentManagement/types"/>
    <xsd:import namespace="http://schemas.microsoft.com/office/infopath/2007/PartnerControls"/>
    <xsd:element name="SharedWithUsers" ma:index="13"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fa6a9aea-fb0f-4ddd-aff8-712634b7d5fe" elementFormDefault="qualified">
    <xsd:import namespace="http://schemas.microsoft.com/office/2006/documentManagement/types"/>
    <xsd:import namespace="http://schemas.microsoft.com/office/infopath/2007/PartnerControls"/>
    <xsd:element name="TaxCatchAll" ma:index="23" nillable="true" ma:displayName="Taxonomy Catch All Column" ma:hidden="true" ma:list="{6a283aa0-209c-4258-8158-fe5cf197b20f}" ma:internalName="TaxCatchAll" ma:showField="CatchAllData" ma:web="d5b246bb-b4f2-488c-be94-ef73d717d87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6e4dd1ac-fb92-48a9-9c08-e0f8aa2e21c5">
      <Terms xmlns="http://schemas.microsoft.com/office/infopath/2007/PartnerControls"/>
    </lcf76f155ced4ddcb4097134ff3c332f>
    <TaxCatchAll xmlns="fa6a9aea-fb0f-4ddd-aff8-712634b7d5fe" xsi:nil="true"/>
  </documentManagement>
</p:properties>
</file>

<file path=customXml/itemProps1.xml><?xml version="1.0" encoding="utf-8"?>
<ds:datastoreItem xmlns:ds="http://schemas.openxmlformats.org/officeDocument/2006/customXml" ds:itemID="{E1B15242-0468-4F78-BBEB-04B32BF255B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e4dd1ac-fb92-48a9-9c08-e0f8aa2e21c5"/>
    <ds:schemaRef ds:uri="d5b246bb-b4f2-488c-be94-ef73d717d87a"/>
    <ds:schemaRef ds:uri="fa6a9aea-fb0f-4ddd-aff8-712634b7d5f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EF8C9020-8BB4-47CB-8B11-F03B379F1827}">
  <ds:schemaRefs>
    <ds:schemaRef ds:uri="http://schemas.microsoft.com/sharepoint/v3/contenttype/forms"/>
  </ds:schemaRefs>
</ds:datastoreItem>
</file>

<file path=customXml/itemProps3.xml><?xml version="1.0" encoding="utf-8"?>
<ds:datastoreItem xmlns:ds="http://schemas.openxmlformats.org/officeDocument/2006/customXml" ds:itemID="{D96EF33D-49C3-43ED-96BC-EEE9BDA00542}">
  <ds:schemaRefs>
    <ds:schemaRef ds:uri="http://schemas.microsoft.com/office/2006/metadata/properties"/>
    <ds:schemaRef ds:uri="http://purl.org/dc/dcmitype/"/>
    <ds:schemaRef ds:uri="http://www.w3.org/XML/1998/namespace"/>
    <ds:schemaRef ds:uri="http://schemas.microsoft.com/office/infopath/2007/PartnerControls"/>
    <ds:schemaRef ds:uri="http://schemas.microsoft.com/office/2006/documentManagement/types"/>
    <ds:schemaRef ds:uri="http://schemas.openxmlformats.org/package/2006/metadata/core-properties"/>
    <ds:schemaRef ds:uri="fa6a9aea-fb0f-4ddd-aff8-712634b7d5fe"/>
    <ds:schemaRef ds:uri="d5b246bb-b4f2-488c-be94-ef73d717d87a"/>
    <ds:schemaRef ds:uri="6e4dd1ac-fb92-48a9-9c08-e0f8aa2e21c5"/>
    <ds:schemaRef ds:uri="http://purl.org/dc/terms/"/>
    <ds:schemaRef ds:uri="http://purl.org/dc/elements/1.1/"/>
  </ds:schemaRefs>
</ds:datastoreItem>
</file>

<file path=docMetadata/LabelInfo.xml><?xml version="1.0" encoding="utf-8"?>
<clbl:labelList xmlns:clbl="http://schemas.microsoft.com/office/2020/mipLabelMetadata">
  <clbl:label id="{cf90b97b-be46-4a00-9700-81ce4ff1b7f6}" enabled="0" method="" siteId="{cf90b97b-be46-4a00-9700-81ce4ff1b7f6}"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11</vt:i4>
      </vt:variant>
      <vt:variant>
        <vt:lpstr>Named Ranges</vt:lpstr>
      </vt:variant>
      <vt:variant>
        <vt:i4>134</vt:i4>
      </vt:variant>
    </vt:vector>
  </HeadingPairs>
  <TitlesOfParts>
    <vt:vector size="145" baseType="lpstr">
      <vt:lpstr>User Input</vt:lpstr>
      <vt:lpstr>Lists</vt:lpstr>
      <vt:lpstr>Heating Load</vt:lpstr>
      <vt:lpstr>Adjusted HSPF</vt:lpstr>
      <vt:lpstr>AppTech</vt:lpstr>
      <vt:lpstr>Calc</vt:lpstr>
      <vt:lpstr>Factors</vt:lpstr>
      <vt:lpstr>Residential Prices</vt:lpstr>
      <vt:lpstr>Carbon Calculator</vt:lpstr>
      <vt:lpstr>Profiles</vt:lpstr>
      <vt:lpstr>Methodology</vt:lpstr>
      <vt:lpstr>activestate</vt:lpstr>
      <vt:lpstr>AFUE</vt:lpstr>
      <vt:lpstr>Annual_Space_Heating_Requirements</vt:lpstr>
      <vt:lpstr>avgfamsize</vt:lpstr>
      <vt:lpstr>c_AnnualCooking</vt:lpstr>
      <vt:lpstr>c_AnnualDryer</vt:lpstr>
      <vt:lpstr>c_AnnualHeating</vt:lpstr>
      <vt:lpstr>c_AnnualWaterHeating</vt:lpstr>
      <vt:lpstr>c_City</vt:lpstr>
      <vt:lpstr>c_CO21</vt:lpstr>
      <vt:lpstr>c_CO22</vt:lpstr>
      <vt:lpstr>c_CookingEfficiency</vt:lpstr>
      <vt:lpstr>c_CookingSystem</vt:lpstr>
      <vt:lpstr>c_Dryer</vt:lpstr>
      <vt:lpstr>c_DryerEfficiency</vt:lpstr>
      <vt:lpstr>c_DryerLoads</vt:lpstr>
      <vt:lpstr>c_ElectricHeating</vt:lpstr>
      <vt:lpstr>c_Emission</vt:lpstr>
      <vt:lpstr>c_FamilySize</vt:lpstr>
      <vt:lpstr>c_GasHeating</vt:lpstr>
      <vt:lpstr>c_GasWaterHeating</vt:lpstr>
      <vt:lpstr>c_HeatingSource</vt:lpstr>
      <vt:lpstr>c_PriceElectricity</vt:lpstr>
      <vt:lpstr>c_PriceGas</vt:lpstr>
      <vt:lpstr>c_PriceOil</vt:lpstr>
      <vt:lpstr>c_PricePropane</vt:lpstr>
      <vt:lpstr>c_Range</vt:lpstr>
      <vt:lpstr>c_sqft</vt:lpstr>
      <vt:lpstr>c_State</vt:lpstr>
      <vt:lpstr>c_WaterHeatingSystem</vt:lpstr>
      <vt:lpstr>c_WaterHeatingType</vt:lpstr>
      <vt:lpstr>Canadian_Average_All_Sources</vt:lpstr>
      <vt:lpstr>city</vt:lpstr>
      <vt:lpstr>clothes_current</vt:lpstr>
      <vt:lpstr>cookeff</vt:lpstr>
      <vt:lpstr>cookelecuse</vt:lpstr>
      <vt:lpstr>cooking_current1</vt:lpstr>
      <vt:lpstr>cooking_current2</vt:lpstr>
      <vt:lpstr>ctype</vt:lpstr>
      <vt:lpstr>Current_Electric_Heating_System_Type</vt:lpstr>
      <vt:lpstr>data1</vt:lpstr>
      <vt:lpstr>data2</vt:lpstr>
      <vt:lpstr>dryerloads</vt:lpstr>
      <vt:lpstr>dtype</vt:lpstr>
      <vt:lpstr>eGRID_Subregions_Ave_All_Sources</vt:lpstr>
      <vt:lpstr>eGRID_Subregions_Average_Fossil</vt:lpstr>
      <vt:lpstr>electric</vt:lpstr>
      <vt:lpstr>electricity</vt:lpstr>
      <vt:lpstr>electricity2</vt:lpstr>
      <vt:lpstr>emisProfile</vt:lpstr>
      <vt:lpstr>Energy_Source_for_Current_Heating_System</vt:lpstr>
      <vt:lpstr>Erates</vt:lpstr>
      <vt:lpstr>famsize</vt:lpstr>
      <vt:lpstr>furntype</vt:lpstr>
      <vt:lpstr>gasWHtype</vt:lpstr>
      <vt:lpstr>Grid_Cooking</vt:lpstr>
      <vt:lpstr>Grid_Dryer</vt:lpstr>
      <vt:lpstr>Grid_Heating</vt:lpstr>
      <vt:lpstr>Grid_WaterHeating</vt:lpstr>
      <vt:lpstr>Grid1</vt:lpstr>
      <vt:lpstr>Grid2</vt:lpstr>
      <vt:lpstr>Grid3</vt:lpstr>
      <vt:lpstr>Grid4</vt:lpstr>
      <vt:lpstr>heatload</vt:lpstr>
      <vt:lpstr>heattype</vt:lpstr>
      <vt:lpstr>homesize</vt:lpstr>
      <vt:lpstr>InputGrid1</vt:lpstr>
      <vt:lpstr>list_City</vt:lpstr>
      <vt:lpstr>list_Dryer</vt:lpstr>
      <vt:lpstr>list_ElectricHeating</vt:lpstr>
      <vt:lpstr>list_Electricity</vt:lpstr>
      <vt:lpstr>list_Emission</vt:lpstr>
      <vt:lpstr>list_EnergySource</vt:lpstr>
      <vt:lpstr>list_GasHeating</vt:lpstr>
      <vt:lpstr>list_Naturalgas</vt:lpstr>
      <vt:lpstr>list_Oil</vt:lpstr>
      <vt:lpstr>list_Propane</vt:lpstr>
      <vt:lpstr>list_States</vt:lpstr>
      <vt:lpstr>list_WaterElectricSystem</vt:lpstr>
      <vt:lpstr>list_WaterHeatingGas</vt:lpstr>
      <vt:lpstr>NERC_Average_All_Sources</vt:lpstr>
      <vt:lpstr>NERC_Average_Fossil</vt:lpstr>
      <vt:lpstr>NG</vt:lpstr>
      <vt:lpstr>NG_2</vt:lpstr>
      <vt:lpstr>NGrates</vt:lpstr>
      <vt:lpstr>Oil</vt:lpstr>
      <vt:lpstr>oil_boolean</vt:lpstr>
      <vt:lpstr>oil_boolean2</vt:lpstr>
      <vt:lpstr>Orates</vt:lpstr>
      <vt:lpstr>pgs_auto_chart_data_01</vt:lpstr>
      <vt:lpstr>pgs_auto_chart_data_02</vt:lpstr>
      <vt:lpstr>pgs_auto_chart_data_03</vt:lpstr>
      <vt:lpstr>pgs_auto_output_label_01</vt:lpstr>
      <vt:lpstr>pgs_auto_output_label_02</vt:lpstr>
      <vt:lpstr>pgs_auto_output_label_03</vt:lpstr>
      <vt:lpstr>pgs_auto_output_label_04</vt:lpstr>
      <vt:lpstr>pgs_auto_output_label_05</vt:lpstr>
      <vt:lpstr>pgs_auto_output_label_06</vt:lpstr>
      <vt:lpstr>pgs_auto_output_label_07</vt:lpstr>
      <vt:lpstr>Prates</vt:lpstr>
      <vt:lpstr>Calc!Print_Area</vt:lpstr>
      <vt:lpstr>'User Input'!Print_Area</vt:lpstr>
      <vt:lpstr>Propane</vt:lpstr>
      <vt:lpstr>propane_boolean</vt:lpstr>
      <vt:lpstr>propane_boolean2</vt:lpstr>
      <vt:lpstr>Results_1</vt:lpstr>
      <vt:lpstr>Results_2</vt:lpstr>
      <vt:lpstr>space_current</vt:lpstr>
      <vt:lpstr>sqft</vt:lpstr>
      <vt:lpstr>Square_Footage_of_House__between_500_and_6_000_sqft</vt:lpstr>
      <vt:lpstr>state</vt:lpstr>
      <vt:lpstr>statelist</vt:lpstr>
      <vt:lpstr>super1</vt:lpstr>
      <vt:lpstr>super2</vt:lpstr>
      <vt:lpstr>text1</vt:lpstr>
      <vt:lpstr>text2</vt:lpstr>
      <vt:lpstr>text3</vt:lpstr>
      <vt:lpstr>text4</vt:lpstr>
      <vt:lpstr>total_chart11</vt:lpstr>
      <vt:lpstr>total_chart12</vt:lpstr>
      <vt:lpstr>total_chart21</vt:lpstr>
      <vt:lpstr>total_chart22</vt:lpstr>
      <vt:lpstr>transloss</vt:lpstr>
      <vt:lpstr>Type_of_Natural_Gas_Heating_System_To_Compare</vt:lpstr>
      <vt:lpstr>u_input1</vt:lpstr>
      <vt:lpstr>u_input2</vt:lpstr>
      <vt:lpstr>u_input3</vt:lpstr>
      <vt:lpstr>u_input4</vt:lpstr>
      <vt:lpstr>unit_cooking</vt:lpstr>
      <vt:lpstr>US_Average_All_Sources</vt:lpstr>
      <vt:lpstr>US_Average_Fossil</vt:lpstr>
      <vt:lpstr>user_defined_label_i9</vt:lpstr>
      <vt:lpstr>water_current</vt:lpstr>
      <vt:lpstr>wheattype</vt:lpstr>
    </vt:vector>
  </TitlesOfParts>
  <Manager/>
  <Company>ICF International</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ICF</dc:creator>
  <cp:keywords/>
  <dc:description/>
  <cp:lastModifiedBy>Divenere, Rob</cp:lastModifiedBy>
  <cp:revision/>
  <cp:lastPrinted>2025-12-16T20:25:24Z</cp:lastPrinted>
  <dcterms:created xsi:type="dcterms:W3CDTF">2008-09-12T19:56:03Z</dcterms:created>
  <dcterms:modified xsi:type="dcterms:W3CDTF">2025-12-16T22:10:57Z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0x010100CC61D0F79A20B943AE59D3ECFC4FFBFC</vt:lpwstr>
  </property>
</Properties>
</file>